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ustomProperty3.bin" ContentType="application/vnd.openxmlformats-officedocument.spreadsheetml.customPropert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20" windowWidth="19320" windowHeight="12240" activeTab="2"/>
  </bookViews>
  <sheets>
    <sheet name="Kindergarten" sheetId="12" r:id="rId1"/>
    <sheet name="1st Grade" sheetId="13" r:id="rId2"/>
    <sheet name="2nd Grade" sheetId="14" r:id="rId3"/>
    <sheet name="3rd Grade" sheetId="5" r:id="rId4"/>
    <sheet name="4th Grade" sheetId="7" r:id="rId5"/>
    <sheet name="5th Grade" sheetId="8" r:id="rId6"/>
    <sheet name="6th Grade" sheetId="9" r:id="rId7"/>
    <sheet name="7th Grade" sheetId="10" r:id="rId8"/>
    <sheet name="8th Grade" sheetId="11" r:id="rId9"/>
    <sheet name="Template" sheetId="6" r:id="rId10"/>
    <sheet name="DV-IDENTITY-0" sheetId="4" state="veryHidden" r:id="rId11"/>
  </sheets>
  <definedNames>
    <definedName name="_xlnm.Print_Area" localSheetId="1">'1st Grade'!$A$1:$G$88</definedName>
    <definedName name="_xlnm.Print_Area" localSheetId="2">'2nd Grade'!$A$3:$G$91</definedName>
    <definedName name="_xlnm.Print_Area" localSheetId="3">'3rd Grade'!$A$1:$G$158</definedName>
    <definedName name="_xlnm.Print_Area" localSheetId="4">'4th Grade'!$A$1:$G$161</definedName>
    <definedName name="_xlnm.Print_Area" localSheetId="5">'5th Grade'!$A$1:$G$76</definedName>
    <definedName name="_xlnm.Print_Area" localSheetId="6">'6th Grade'!$A$1:$G$111</definedName>
    <definedName name="_xlnm.Print_Area" localSheetId="7">'7th Grade'!$A$1:$G$174</definedName>
    <definedName name="_xlnm.Print_Area" localSheetId="8">'8th Grade'!$A$1:$G$137</definedName>
    <definedName name="_xlnm.Print_Area" localSheetId="0">Kindergarten!$A$1:$G$65</definedName>
    <definedName name="_xlnm.Print_Titles" localSheetId="1">'1st Grade'!$1:$3</definedName>
    <definedName name="_xlnm.Print_Titles" localSheetId="2">'2nd Grade'!$1:$3</definedName>
    <definedName name="_xlnm.Print_Titles" localSheetId="3">'3rd Grade'!$1:$3</definedName>
    <definedName name="_xlnm.Print_Titles" localSheetId="4">'4th Grade'!$1:$3</definedName>
    <definedName name="_xlnm.Print_Titles" localSheetId="5">'5th Grade'!$1:$3</definedName>
    <definedName name="_xlnm.Print_Titles" localSheetId="6">'6th Grade'!$1:$3</definedName>
    <definedName name="_xlnm.Print_Titles" localSheetId="7">'7th Grade'!$1:$3</definedName>
    <definedName name="_xlnm.Print_Titles" localSheetId="8">'8th Grade'!$1:$3</definedName>
    <definedName name="_xlnm.Print_Titles" localSheetId="0">Kindergarten!$1:$3</definedName>
    <definedName name="_xlnm.Print_Titles" localSheetId="9">Template!$1:$3</definedName>
  </definedNames>
  <calcPr calcId="125725" fullCalcOnLoad="1"/>
</workbook>
</file>

<file path=xl/calcChain.xml><?xml version="1.0" encoding="utf-8"?>
<calcChain xmlns="http://schemas.openxmlformats.org/spreadsheetml/2006/main">
  <c r="A7" i="4"/>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A6"/>
  <c r="B6"/>
  <c r="C6"/>
  <c r="D6"/>
  <c r="E6"/>
  <c r="F6"/>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A2"/>
  <c r="B2"/>
  <c r="C2"/>
  <c r="D2"/>
  <c r="E2"/>
  <c r="F2"/>
  <c r="G2"/>
  <c r="H2"/>
  <c r="I2"/>
  <c r="J2"/>
  <c r="K2"/>
  <c r="L2"/>
  <c r="M2"/>
  <c r="N2"/>
  <c r="O2"/>
  <c r="P2"/>
  <c r="Q2"/>
  <c r="R2"/>
  <c r="S2"/>
  <c r="T2"/>
  <c r="U2"/>
  <c r="V2"/>
  <c r="W2"/>
  <c r="X2"/>
  <c r="Y2"/>
  <c r="Z2"/>
  <c r="AA2"/>
  <c r="AB2"/>
  <c r="AC2"/>
  <c r="AD2"/>
  <c r="AE2"/>
  <c r="AF2"/>
  <c r="A1"/>
  <c r="B1"/>
  <c r="C1"/>
  <c r="D1"/>
  <c r="E1"/>
  <c r="F1"/>
  <c r="G1"/>
  <c r="H1"/>
  <c r="I1"/>
  <c r="J1"/>
  <c r="K1"/>
  <c r="L1"/>
  <c r="M1"/>
  <c r="N1"/>
  <c r="O1"/>
  <c r="P1"/>
  <c r="Q1"/>
  <c r="R1"/>
  <c r="S1"/>
  <c r="T1"/>
  <c r="U1"/>
  <c r="V1"/>
  <c r="W1"/>
  <c r="X1"/>
  <c r="Y1"/>
  <c r="Z1"/>
  <c r="AA1"/>
  <c r="AB1"/>
  <c r="AC1"/>
  <c r="AD1"/>
  <c r="AE1"/>
  <c r="AF1"/>
  <c r="AG1"/>
  <c r="AH1"/>
  <c r="AI1"/>
  <c r="AJ1"/>
  <c r="AK1"/>
  <c r="AL1"/>
</calcChain>
</file>

<file path=xl/sharedStrings.xml><?xml version="1.0" encoding="utf-8"?>
<sst xmlns="http://schemas.openxmlformats.org/spreadsheetml/2006/main" count="3598" uniqueCount="1422">
  <si>
    <r>
      <t>P</t>
    </r>
    <r>
      <rPr>
        <sz val="10"/>
        <rFont val="Times New Roman"/>
        <family val="1"/>
      </rPr>
      <t>0606.3.8 Represent patterns using words, graphs, and simple symbolic notation.</t>
    </r>
  </si>
  <si>
    <r>
      <t>P</t>
    </r>
    <r>
      <rPr>
        <sz val="10"/>
        <rFont val="Times New Roman"/>
        <family val="1"/>
      </rPr>
      <t>0406.3.4 Translate between symbolic, numerical, verbal, or pictorial representations of a whole number pattern or relationship.</t>
    </r>
  </si>
  <si>
    <r>
      <t>P</t>
    </r>
    <r>
      <rPr>
        <sz val="10"/>
        <rFont val="Times New Roman"/>
        <family val="1"/>
      </rPr>
      <t>0406.3.3 Create, explain, and use a rule to generate terms of a pattern or sequence.</t>
    </r>
  </si>
  <si>
    <t>SPI 0406.3.3 Represent and analyze patterns using words, function tables, and graphs.</t>
  </si>
  <si>
    <t>SPI 0406.3.2 Make generalizations about geometric numeric patterns.</t>
  </si>
  <si>
    <r>
      <t>P</t>
    </r>
    <r>
      <rPr>
        <sz val="10"/>
        <rFont val="Times New Roman"/>
        <family val="1"/>
      </rPr>
      <t>0806.3.9 Given a function rule, create tables of values for x and y, and plot graphs of nonlinear functions.</t>
    </r>
  </si>
  <si>
    <r>
      <t>P</t>
    </r>
    <r>
      <rPr>
        <sz val="10"/>
        <rFont val="Times New Roman"/>
        <family val="1"/>
      </rPr>
      <t>0806.3.12 Understand how rates of change of nonlinear functions contrast with constant rates of change of linear functions.</t>
    </r>
  </si>
  <si>
    <r>
      <t>P</t>
    </r>
    <r>
      <rPr>
        <sz val="10"/>
        <rFont val="Times New Roman"/>
        <family val="1"/>
      </rPr>
      <t>0806.3.5 Solve linear inequalities in two variables (including solutions that require multiplication or division by a negative number).</t>
    </r>
  </si>
  <si>
    <r>
      <t>P</t>
    </r>
    <r>
      <rPr>
        <sz val="10"/>
        <rFont val="Times New Roman"/>
        <family val="1"/>
      </rPr>
      <t>0606.3.9 Write a contextual story modeled by a given graph.</t>
    </r>
  </si>
  <si>
    <r>
      <t>P</t>
    </r>
    <r>
      <rPr>
        <sz val="10"/>
        <rFont val="Times New Roman"/>
        <family val="1"/>
      </rPr>
      <t>0806.1.6 Use models to explore relationships among angles.</t>
    </r>
  </si>
  <si>
    <r>
      <t>P</t>
    </r>
    <r>
      <rPr>
        <sz val="10"/>
        <rFont val="Times New Roman"/>
        <family val="1"/>
      </rPr>
      <t>0806.4.5 Analyze the congruent and supplementary relationships of angles formed by parallel lines and transversals.</t>
    </r>
  </si>
  <si>
    <r>
      <t>P</t>
    </r>
    <r>
      <rPr>
        <sz val="10"/>
        <rFont val="Times New Roman"/>
        <family val="1"/>
      </rPr>
      <t>0606.4.9 Analyze differences between congruent and similar.</t>
    </r>
  </si>
  <si>
    <r>
      <t>P</t>
    </r>
    <r>
      <rPr>
        <sz val="10"/>
        <rFont val="Times New Roman"/>
        <family val="1"/>
      </rPr>
      <t>0606.4.6 Use properties of interior and exterior angles of polygons.</t>
    </r>
  </si>
  <si>
    <t>SPI 0306.4.2 Determine if two figures are congruent based on size and shape.</t>
  </si>
  <si>
    <t xml:space="preserve">CC.5.NBT.5 Fluently multiply multi-digit whole numbers using the standard algorithm. </t>
  </si>
  <si>
    <t xml:space="preserve">CC.5.NBT.6 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 </t>
  </si>
  <si>
    <t>CC.5.NBT.7 Add, subtract, multiply, and divide decimals to hundredths, using concrete models or drawings and strategies based on place value, properties of operations, and/or the relationship between addition and subtraction; relate the strategy to a written method and explain the reasoning used.</t>
  </si>
  <si>
    <t xml:space="preserve">CC.5.NF.1 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 </t>
  </si>
  <si>
    <t xml:space="preserve">CC.5.NF.2 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t>
  </si>
  <si>
    <t xml:space="preserve">CC.2.MD.8 Solve word problems involving dollar bills, quarters, dimes, nickels, and pennies, using $ (dollars) and ¢ (cents) symbols appropriately. Example: If you have 2 dimes and 3 pennies, how many cents do you have? </t>
  </si>
  <si>
    <t>CC.2.MD.9 Generate measurement data by measuring lengths of several objects to the nearest whole unit, or by making repeated measurements of the same object. Show the measurements by making a line plot, where the horizontal scale is marked off in whole-number units.</t>
  </si>
  <si>
    <t xml:space="preserve">CC.2.MD.10 Draw a picture graph and a bar graph (with single-unit scale) to represent a data set with up to four categories. Solve simple put-together, take-apart, and compare problems  using information presented in a bar graph. </t>
  </si>
  <si>
    <t>1-2, 1-4, 9-5</t>
  </si>
  <si>
    <t>2-6, 2-7, 2-8, 10-1, 10-3, 10-4</t>
  </si>
  <si>
    <t>9-4, 9-8</t>
  </si>
  <si>
    <t>2-3, TN-6</t>
  </si>
  <si>
    <t>TN-6</t>
  </si>
  <si>
    <t>12-1</t>
  </si>
  <si>
    <t>8-6</t>
  </si>
  <si>
    <t>6-2, 6-3</t>
  </si>
  <si>
    <t>3-8, 6-1</t>
  </si>
  <si>
    <t>15-1, 15-2</t>
  </si>
  <si>
    <t>15-3, 15-4</t>
  </si>
  <si>
    <t>3-7</t>
  </si>
  <si>
    <t>7-4, 7-5, 7-6, 7-7, 7-8, 7-9</t>
  </si>
  <si>
    <t>1-1, 1-3</t>
  </si>
  <si>
    <t>4-7</t>
  </si>
  <si>
    <t>4-1, 4-4, 4-5, 4-6, 5-1, 5-3, 5-4, 5-5, 5-6</t>
  </si>
  <si>
    <t>2-2, 3-3, 4-2, 5-2, 5-7, 7-3</t>
  </si>
  <si>
    <t>10-1, 10-3, 10-4, 10-5, 10-6</t>
  </si>
  <si>
    <t>10-2</t>
  </si>
  <si>
    <t>10-5, 10-6</t>
  </si>
  <si>
    <t>TN-12</t>
  </si>
  <si>
    <t>9-2, 9-10, TN-1</t>
  </si>
  <si>
    <t>18-9</t>
  </si>
  <si>
    <t>13-3, 13-5</t>
  </si>
  <si>
    <t>8-2, 12-1, 12-2</t>
  </si>
  <si>
    <t>12-3, 13-6</t>
  </si>
  <si>
    <t>TN-13</t>
  </si>
  <si>
    <t>13-5</t>
  </si>
  <si>
    <t>17-2</t>
  </si>
  <si>
    <t>8-6, 10-7, 12-8, 13-7</t>
  </si>
  <si>
    <t>Starred Word Problems in Chapters 1-4</t>
  </si>
  <si>
    <t>Previewed throughout book.</t>
  </si>
  <si>
    <t>SPI 0606.3.8 Select qualitative graph.</t>
  </si>
  <si>
    <t>Used throughout teacher edition.</t>
  </si>
  <si>
    <t>Reference: Problem Solving Investigations</t>
  </si>
  <si>
    <t>Chapter 3, p. 150</t>
  </si>
  <si>
    <t>Chapter 11, p. 666-680</t>
  </si>
  <si>
    <t>Chapters 3 and 4</t>
  </si>
  <si>
    <t>Chapter 3, p. 159, 173, 180</t>
  </si>
  <si>
    <t>Chapter 2, p. 90-126</t>
  </si>
  <si>
    <t>Chapter 2, p. 90-126, p. 130-133</t>
  </si>
  <si>
    <t>Chapter 2, p. 98, 111-115, 120, 130-133</t>
  </si>
  <si>
    <t>Chapter 2, p. 124, 127</t>
  </si>
  <si>
    <t>Smart Start Add and Subtract 9, p. 7; Chapter 1 All</t>
  </si>
  <si>
    <t>Chapter 1, p. 419-422</t>
  </si>
  <si>
    <t>Chapter 7, p. 418, 419</t>
  </si>
  <si>
    <t>Chapter 7, p. 425</t>
  </si>
  <si>
    <t>Chapter 7, p. 419</t>
  </si>
  <si>
    <t>Chapter 4, p. 227-238</t>
  </si>
  <si>
    <t>Chapter 4, p. 227-236</t>
  </si>
  <si>
    <t>Chapter 7, p. 366-370</t>
  </si>
  <si>
    <t>Chapter 5, p. 294-297</t>
  </si>
  <si>
    <t>Chapter 5, p. 279-285</t>
  </si>
  <si>
    <t>Chapter 5, p. 294-299, 289c, 289d</t>
  </si>
  <si>
    <t>Chapter 5, p. 289-299</t>
  </si>
  <si>
    <t>Supplement lesson needed.</t>
  </si>
  <si>
    <t>Chapter 6, p. 322-326, 328-331, 335-338, 340-343</t>
  </si>
  <si>
    <t>Chapter 5, p. 274</t>
  </si>
  <si>
    <t>Chapter 7, p. 402-405, 407-411, 412-415</t>
  </si>
  <si>
    <t>Chapter 7, p. 395-411</t>
  </si>
  <si>
    <t>Chapter 9, p. 522, 535</t>
  </si>
  <si>
    <t>Chapter 5, p. 457-457c, 457d, 467-467c, 467d</t>
  </si>
  <si>
    <t>Chapter 11, p. 602, 612</t>
  </si>
  <si>
    <t>Chapter 9, p. 522-539, 569; Chapter 10, p. 598</t>
  </si>
  <si>
    <t>Chapter 11, p. 597, 602</t>
  </si>
  <si>
    <t>Chapter 11, p. 686-687, 748-749</t>
  </si>
  <si>
    <t>Chapter 11, p. 643-660</t>
  </si>
  <si>
    <t>Chapter 11, p. 649</t>
  </si>
  <si>
    <r>
      <t>P</t>
    </r>
    <r>
      <rPr>
        <sz val="10"/>
        <rFont val="Times New Roman"/>
        <family val="1"/>
      </rPr>
      <t>0506.5.6 Determine a simple probability.</t>
    </r>
  </si>
  <si>
    <r>
      <t>P</t>
    </r>
    <r>
      <rPr>
        <sz val="10"/>
        <rFont val="Times New Roman"/>
        <family val="1"/>
      </rPr>
      <t>0706.5.6 Use a tree diagram or organized list to determine all possible outcomes of a simple probability experiment.</t>
    </r>
  </si>
  <si>
    <t>435-443</t>
  </si>
  <si>
    <t>320-365</t>
  </si>
  <si>
    <t>276-282</t>
  </si>
  <si>
    <t>504-533, 540-545</t>
  </si>
  <si>
    <t>272-275, 405-415</t>
  </si>
  <si>
    <t>405-415</t>
  </si>
  <si>
    <t>391-400</t>
  </si>
  <si>
    <t>86-113, 139-173</t>
  </si>
  <si>
    <t>89-92</t>
  </si>
  <si>
    <t>38-41</t>
  </si>
  <si>
    <t>77-80</t>
  </si>
  <si>
    <t>33-37</t>
  </si>
  <si>
    <t>42, 44-50, 100-101</t>
  </si>
  <si>
    <t>208-239</t>
  </si>
  <si>
    <t>228-239</t>
  </si>
  <si>
    <t>242-253</t>
  </si>
  <si>
    <t>299-303</t>
  </si>
  <si>
    <t>293-298</t>
  </si>
  <si>
    <t>284-291</t>
  </si>
  <si>
    <t>652-659</t>
  </si>
  <si>
    <t>293-303</t>
  </si>
  <si>
    <t>652-659, 299-303</t>
  </si>
  <si>
    <t>513-531</t>
  </si>
  <si>
    <t>491-509</t>
  </si>
  <si>
    <t>429-434, 458-462</t>
  </si>
  <si>
    <t>Ch. 2-3a, p. 124-128; Ch. 8-2d, p. 493-498</t>
  </si>
  <si>
    <t>Ch. 1-2c, p. 58-63; Ch. 1-3a, p. 64-68; Ch. 3-1b, p. 156-160; Ch. 3-2c, p. 177-181; Ch. 3-3a, p. 184-186; Ch. 4-2b, p. 243-245</t>
  </si>
  <si>
    <t>Ch. 1-3a, 3b, 3d, p. 129; Ch. 2-33, p. 129; Ch. 3-2a, p. 171; Ch. 4-2c, p. 246-249</t>
  </si>
  <si>
    <t>Ch. 1-3a, 3b, 3d, p. 129; ch. 2-33, p. 129; ch. 3-2a, p. 171; Ch. 4-2c, p. 246-249</t>
  </si>
  <si>
    <t>Ch. 5-1c, 2a, 2b, 2c, 2d, 3b, 3c; Ch. 6-1d, p. 272, 297, 300-311, 350</t>
  </si>
  <si>
    <t>Ch. 5-4a, 4b, p. 314-323</t>
  </si>
  <si>
    <t>Ch. 5-4a, p. 314-319</t>
  </si>
  <si>
    <t>Ch. 5-4b, p. 321</t>
  </si>
  <si>
    <t>Ch. 7-1b, 1c, p. 396-405</t>
  </si>
  <si>
    <t>Ch. 7-2a, 2b, 3a, p. 408-414</t>
  </si>
  <si>
    <t>Ch. 7-2a, 2b, p. 408-414</t>
  </si>
  <si>
    <t>Ch. 10-3b, p. 627-631</t>
  </si>
  <si>
    <t>Throughout textbook.</t>
  </si>
  <si>
    <t>Ch. 3-1c, 1d, 2b, 3b, 3c, 4a, 4b, p. 163, 168, 174, 188, 193, 199, 203; Ch. 5-1b, 2b, 2c, 3c, p. 272, 283, 288, 301</t>
  </si>
  <si>
    <t>Ch. 3-1c, 1d, 2b, 3b, 3c, 4a, 4b, p. 163, 168, 174, 188, 193, 199, 203; Ch. 5-1b, 2b, 2c, 3c, p. 272, 283, 288, 300</t>
  </si>
  <si>
    <t>Ch. 2-3d, p. 135-139</t>
  </si>
  <si>
    <t>Ch. 1-1a, p. 28-32; Ch. 2-3d, p. 135-139</t>
  </si>
  <si>
    <t>Ch. 1-2b, p. 52-57; ch. 2-3c, p. 130-134; Ch. 2-3d, p. 135-139</t>
  </si>
  <si>
    <t>Ch. 2-1b, p. 97-101</t>
  </si>
  <si>
    <t>Ch. 2-3a, p. 124-128; Ch. 2-3c, p. 130-134</t>
  </si>
  <si>
    <t>Ch. 2-1a, p. 91-96; ch. 2-2a, p. 108-112; Ch. 2-2b, p. 113-117</t>
  </si>
  <si>
    <t>Ch. 2-2c, p. 118-122</t>
  </si>
  <si>
    <t>Ch. 2-2b, p. 113-117; Ch. 2-2c, p. 118-122</t>
  </si>
  <si>
    <t>Ch. 9-2c, p. 561-564</t>
  </si>
  <si>
    <t>Ch. 6-1a, 1d, 1e, p. 334, 350, 353</t>
  </si>
  <si>
    <t>Ch. 6-3d, p. 378-381</t>
  </si>
  <si>
    <t>Ch. 6-3c, p. 373-375; Ch. 6-30, p. 378-380</t>
  </si>
  <si>
    <t>Ch. 6-3b, 3c, 3d, p. 372-381</t>
  </si>
  <si>
    <t>Ch. 6-1c, p. 344-349</t>
  </si>
  <si>
    <t>Ch. 6-1a, 1b, 1c, 1e, 2e, p. 337-349, 351-362</t>
  </si>
  <si>
    <t>Ch. 6-1c, 2a, 2b, p. 344-366</t>
  </si>
  <si>
    <t>Ch. 6-2a, p. 362</t>
  </si>
  <si>
    <t>Additional resources needed.</t>
  </si>
  <si>
    <t>Ch. 6-1a, p. 337-343</t>
  </si>
  <si>
    <t>Ch. 8-2a, p. 487-492</t>
  </si>
  <si>
    <t>Ch. 8-2b, p. 484-485</t>
  </si>
  <si>
    <t>Ch. 8-2d, p. 493-448</t>
  </si>
  <si>
    <t>Ch. 10-3f, p. 625-626</t>
  </si>
  <si>
    <t>Ch. 10-3c, p. 627-631; Ch. 11-3d, p. 682-687</t>
  </si>
  <si>
    <t>Ch. 10-2a-d, 10-3a-c, 10-3e-f, p. 593-620</t>
  </si>
  <si>
    <t>Ch. 10-3d, 10-3e, p. 619-626</t>
  </si>
  <si>
    <t>Ch. 10-3b-f, p. 612-631</t>
  </si>
  <si>
    <t>Ch. 2-2a-2c, p. 108-122</t>
  </si>
  <si>
    <t>Ch. 6-1c, p. 349</t>
  </si>
  <si>
    <r>
      <t>P</t>
    </r>
    <r>
      <rPr>
        <sz val="10"/>
        <rFont val="Times New Roman"/>
        <family val="1"/>
      </rPr>
      <t>0806.5.6 Use observations about differences between two or more samples to make conjectures about the populations from which the samples were taken.</t>
    </r>
  </si>
  <si>
    <t>Ch. 11-3d, p. 682-687; Ch. 10-2c, p. 604-608</t>
  </si>
  <si>
    <t>Ch. 11-3d, p. 683-687</t>
  </si>
  <si>
    <t>Topic 4-8, Topic 5-4, Topic 16-1, 16-2, 16-3, 16-5, 16-6, 16-8, Topic 20-1</t>
  </si>
  <si>
    <t>2, 4</t>
  </si>
  <si>
    <t>Topic 3-4, TN Practice Page T153</t>
  </si>
  <si>
    <t>Topic 3-4, TN Practice Page T154</t>
  </si>
  <si>
    <t>Topic 6-1, 6-2, 6-3, 6-4; Topic 7-1, 7-2, 7-3, 7-5</t>
  </si>
  <si>
    <t>Topic 12-1</t>
  </si>
  <si>
    <t>Topic 20-5, 20-6, 20-7, 20-8</t>
  </si>
  <si>
    <t>Topic 13-1, 13-2, 13-3; Topic 15-1, 15-2, 15-3, 15-4</t>
  </si>
  <si>
    <t>topic 18-1, 18-2, 18-3, 18-5, 18-6, 18-7, 18-8, TN 13 Page 152</t>
  </si>
  <si>
    <t>Topic 1-7, 2-2, 2-3, 2-8, 3-1, 3-2, 3-3, 3-5, 6-4, 8-1, 8-2, 8-3, 8-7, 9-1, 9-4, 9-5, 9-6, 9-7, 10-1, 10-3, 10-6, 10-7, TN page 145, TN 11 page 154</t>
  </si>
  <si>
    <t>Topic 2-1, 2-2, 2-3, 2-4, 2-5, 2-6, 2-7; Topic 3-1, 3-2, 3-3, 3-4</t>
  </si>
  <si>
    <t>TN 10 page 153</t>
  </si>
  <si>
    <t>Topic 19-1, TN 9 page 152, TN 10 page 153</t>
  </si>
  <si>
    <t>Topic 17-2, 17-3</t>
  </si>
  <si>
    <t>Topic 4-1, 4-6, 4-8, topic 17-1, 17-4, 17-5, TN 2 page 143</t>
  </si>
  <si>
    <t>Topic 4-3, Topic 17-3</t>
  </si>
  <si>
    <t>Topic 4-4, 4-5, 4-7, Topic 17-6, 17-7, 17-8</t>
  </si>
  <si>
    <t>2-1, 2-2, 2-3, 2-4, 2-5, 2-6, 2-7, Topic 3-1, 3-2, 3-3, 3-4, Topic 19-5, TN Practice page 157</t>
  </si>
  <si>
    <t>Topic 8-6, TN Practice Page 148</t>
  </si>
  <si>
    <t>Topic 1-1, 1-2, 1-3, 1-4, 1-5, 1-6; Topic 2-2, 2-3; Topic 3-1, 3-2, 3-3, Topic 6-4; Topic 8-1, 8-2, 8-3, 8-4, 8-5, 8-7; Topic 9-1, 9-2, 9-3, 9-4, 9-5, 9-6, 9-7; Topic 10-1, 10-3, 10-6, 10-7</t>
  </si>
  <si>
    <t>Topic 2-1, 2-2, 2-3, 2-4, 2-5, 2-6, 2-7; Topic 3-1, 3-2, 3-3, 3-4; Topic 6-2, 6-3; Topic 7-1, 7-2, 7-3; Topic 10-2; Topic 18-1, 18-2, 18-5, 18-6, 18-8</t>
  </si>
  <si>
    <t>Topic 1-6</t>
  </si>
  <si>
    <t>Topic 13-4, 13-5</t>
  </si>
  <si>
    <t>Topic 13-3, 13-4, 13-5; TN Practice page 156</t>
  </si>
  <si>
    <t>Topic 1-1, 1-2, 1-3, 1-4, 1-5; Topic 2-2; Topic 18-1, 18-2, 18-3, 18-7; TN Practice 148</t>
  </si>
  <si>
    <t>Topic 13-3; TN 6 page 147; TN 156</t>
  </si>
  <si>
    <t>TN 1, page 142; TN 2 page 143</t>
  </si>
  <si>
    <t>Topic 15-1, 15-2, 15-3, 15-4, 15-5, 15-6</t>
  </si>
  <si>
    <t>Topic 5-1, 5-2, 5-3, 5-4, 5-5, 5-6</t>
  </si>
  <si>
    <t>topic 4-10; Topic 16-1, 16-2, 16-3, 16-7; Topic 18-9; TN 7 page 150</t>
  </si>
  <si>
    <t>Topic 4-10; Topic 16-1, 16-2, 16-3, 16-7; Topic 18-9; TN 7 page 150</t>
  </si>
  <si>
    <t>Topic 11-2, 11-8; TN Practice 149</t>
  </si>
  <si>
    <t>Topic 13-3; TN Practice 156</t>
  </si>
  <si>
    <t>Topic 12-1, 12-2, 12-3, 12-4, 12-5, 12-6</t>
  </si>
  <si>
    <r>
      <t>P</t>
    </r>
    <r>
      <rPr>
        <sz val="10"/>
        <rFont val="Times New Roman"/>
        <family val="1"/>
      </rPr>
      <t>0706.1.12 Use dynamic geometry software to explore scale factor and similarity.</t>
    </r>
  </si>
  <si>
    <r>
      <t>P</t>
    </r>
    <r>
      <rPr>
        <sz val="10"/>
        <rFont val="Times New Roman"/>
        <family val="1"/>
      </rPr>
      <t>0706.4.3 Understand that if a scale factor describes how corresponding lengths in two similar objects are related, then the square of the scale factor describes how corresponding areas are related, and the cube of the scale factor describes how corresponding volumes are related.</t>
    </r>
  </si>
  <si>
    <t>SPI 0706.4.1 Solve contextual problems involving similar triangles.</t>
  </si>
  <si>
    <t>SPI 0706.4.3 Use scale factor to solve problems involving area and volume.</t>
  </si>
  <si>
    <t>SPI 0706.4.2 Use SSS, SAS, AA to determine if two triangles are similar.</t>
  </si>
  <si>
    <t>CC.4.NBT.2 Read and write multi-digit whole numbers using base-ten numerals, number names, and expanded form. Compare two multi-digit numbers based on meanings of the digits in each place, using &gt;, =, and &lt; symbols to record the results of comparisons.  (Grade 4 expectations in this domain are limited to whole numbers less than or equal to 1,000,000.)</t>
  </si>
  <si>
    <t>CC.4.NBT.3 Use place value understanding to round multi-digit whole numbers to any place.  (Grade 4 expectations in this domain are limited to whole numbers less than or equal to 1,000,000.)</t>
  </si>
  <si>
    <t>CC.4.NBT.4 Fluently add and subtract multi-digit whole numbers using the standard algorithm. (Grade 4 expectations in this domain are limited to whole numbers less than or equal to 1,000,000. A range of algorithms may be used.)</t>
  </si>
  <si>
    <t>CC.4.NBT.5 Multiply a whole number of up to four digits by a one-digit whole number, and multiply two two-digit numbers, using strategies based on place value and the properties of operations. Illustrate and explain the calculation by using equations, rectangular arrays, and/or area models.  (Grade 4 expectations in this domain are limited to whole numbers less than or equal to 1,000,000. A range of algorithms may be used.)</t>
  </si>
  <si>
    <t>CC.4.NBT.6 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(Grade 4 expectations in this domain are limited to whole numbers less than or equal to 1,000,000. A range of algorithms may be used.)</t>
  </si>
  <si>
    <t xml:space="preserve">CC.2.MD.2 Measure the length of an object twice, using length units of different lengths for the two measurements; describe how the two measurements relate to the size of the unit chosen. </t>
  </si>
  <si>
    <t>CC.2.MD.3 Estimate lengths using units of inches, feet, centimeters, and meters.</t>
  </si>
  <si>
    <t>CC.2.MD.4 Measure to determine how much longer one object is than another, expressing the length difference in terms of a standard length unit.</t>
  </si>
  <si>
    <t>CC.2.MD.5 Use addition and subtraction within 100 to solve word problems involving lengths that are given in the same units, e.g., by using drawings (such as drawings of rulers) and equations with a symbol for the unknown number to represent the problem.</t>
  </si>
  <si>
    <t xml:space="preserve">CC.2.MD.6 Represent whole numbers as lengths from 0 on a number line diagram with equally spaced points corresponding to the numbers 0, 1, 2, … , and represent whole-number sums and differences within 100 on a number line diagram. </t>
  </si>
  <si>
    <t xml:space="preserve">CC.2.MD.7 Tell and write time from analog and digital clocks to the nearest five minutes, using a.m. and p.m. </t>
  </si>
  <si>
    <t>CC.4.NF.1 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(Grade 4 expectations in this domain are limited to fractions with denominators 2, 3, 4, 5, 6, 8, 10, 12, and 100.)</t>
  </si>
  <si>
    <r>
      <t>P</t>
    </r>
    <r>
      <rPr>
        <sz val="10"/>
        <rFont val="Times New Roman"/>
        <family val="1"/>
      </rPr>
      <t>0406.4.4 Measure and draw angles.</t>
    </r>
  </si>
  <si>
    <t>SPI 0406.4.5 Identify attributes of simple and compound figures composed of two- and three-dimensional shapes.</t>
  </si>
  <si>
    <t>SPI 0406.4.1 Classify lines and line segments as parallel, perpendicular, or intersecting.</t>
  </si>
  <si>
    <r>
      <t>P</t>
    </r>
    <r>
      <rPr>
        <sz val="10"/>
        <rFont val="Times New Roman"/>
        <family val="1"/>
      </rPr>
      <t>0406.4.1 Identify the basic parts of circles.</t>
    </r>
  </si>
  <si>
    <r>
      <t>P</t>
    </r>
    <r>
      <rPr>
        <sz val="10"/>
        <rFont val="Times New Roman"/>
        <family val="1"/>
      </rPr>
      <t>0606.4.4 Classify triangles by sides and angles.</t>
    </r>
  </si>
  <si>
    <r>
      <t>P</t>
    </r>
    <r>
      <rPr>
        <sz val="10"/>
        <rFont val="Times New Roman"/>
        <family val="1"/>
      </rPr>
      <t>0406.4.15 Examine properties of paths between points.</t>
    </r>
  </si>
  <si>
    <t>SPI 0306.4.3 Identify the line of symmetry in a two-dimensional design or shape.</t>
  </si>
  <si>
    <r>
      <t>P</t>
    </r>
    <r>
      <rPr>
        <sz val="10"/>
        <rFont val="Times New Roman"/>
        <family val="1"/>
      </rPr>
      <t>0406.4.20 Draw lines of symmetry in two-dimensional figures.</t>
    </r>
  </si>
  <si>
    <r>
      <t>P</t>
    </r>
    <r>
      <rPr>
        <sz val="10"/>
        <rFont val="Times New Roman"/>
        <family val="1"/>
      </rPr>
      <t>0406.4.18 Determine whether a geometric shape has line and/or rotational symmetry.</t>
    </r>
  </si>
  <si>
    <r>
      <t>P</t>
    </r>
    <r>
      <rPr>
        <sz val="10"/>
        <rFont val="Times New Roman"/>
        <family val="1"/>
      </rPr>
      <t>0506.4.18 Identify characteristics of the set of points that define vertical and horizontal line segments.</t>
    </r>
  </si>
  <si>
    <r>
      <t>P</t>
    </r>
    <r>
      <rPr>
        <sz val="10"/>
        <rFont val="Times New Roman"/>
        <family val="1"/>
      </rPr>
      <t>0406.3.1 Find an unknown quantity in simple equations using whole numbers, fractions, decimals, and mixed numbers.</t>
    </r>
  </si>
  <si>
    <r>
      <t>P</t>
    </r>
    <r>
      <rPr>
        <sz val="10"/>
        <rFont val="Times New Roman"/>
        <family val="1"/>
      </rPr>
      <t>0406.3.2 Translate between symbols and words to represent quantities in expressions or equations.</t>
    </r>
  </si>
  <si>
    <r>
      <t>P</t>
    </r>
    <r>
      <rPr>
        <sz val="10"/>
        <rFont val="Times New Roman"/>
        <family val="1"/>
      </rPr>
      <t>0406.1.7 Translate the details of contextual problem into diagrams and/or numerical expressions, and express answers using appropriate units.</t>
    </r>
  </si>
  <si>
    <t>SPI 0406.2.5 Generate equivalent forms of common fractions and decimals and use them to compare size.</t>
  </si>
  <si>
    <r>
      <t>P</t>
    </r>
    <r>
      <rPr>
        <sz val="10"/>
        <rFont val="Times New Roman"/>
        <family val="1"/>
      </rPr>
      <t>0406.2.12 Understand and use decimal numbers up to hundredths and write them as fractions.</t>
    </r>
  </si>
  <si>
    <t>SPI 0406.1.2 Compare decimals using concrete and pictorial representations.</t>
  </si>
  <si>
    <t xml:space="preserve">CC.6.RP.1 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t>
  </si>
  <si>
    <t>12-10, 13-5, 15-5</t>
  </si>
  <si>
    <t>T147</t>
  </si>
  <si>
    <t>16-8, 19-6</t>
  </si>
  <si>
    <t>2-5, 2-7, 2-9, 13-5</t>
  </si>
  <si>
    <t>5-1, 5-2, 5-4, 18-3</t>
  </si>
  <si>
    <t>2-10, 3-2, 5-10, 18-7, T151</t>
  </si>
  <si>
    <t>7-1, 7-4, 18-3</t>
  </si>
  <si>
    <t>TNP2, 151</t>
  </si>
  <si>
    <r>
      <t>P</t>
    </r>
    <r>
      <rPr>
        <sz val="10"/>
        <rFont val="Times New Roman"/>
        <family val="1"/>
      </rPr>
      <t>0306.2.3 Use parentheses to indicate grouping.</t>
    </r>
  </si>
  <si>
    <t>1-1, 1-2, 1-3, T149</t>
  </si>
  <si>
    <t>2-1, 5-2</t>
  </si>
  <si>
    <t>TNP3</t>
  </si>
  <si>
    <t>3-5, 16-4</t>
  </si>
  <si>
    <t>2-5, 3-4, 18-2, 19-2, TN1</t>
  </si>
  <si>
    <t>TN5</t>
  </si>
  <si>
    <t>1-5, 1-6, T149</t>
  </si>
  <si>
    <t>6-7, 8-6, 9-8</t>
  </si>
  <si>
    <t>5-6, 5-7, 5-8, 5-9, 6-1, 6-2, 6-3, 6-4, 6-5, 8-2, 8-3, 8-4, 8-5, TNP</t>
  </si>
  <si>
    <t>5-1, 5-2, 5-3, 5-4, 7-1, 7-2, 7-3, TNP</t>
  </si>
  <si>
    <t>1-2, 1-3, TNP</t>
  </si>
  <si>
    <t>1-1, 1-2, 1-3, TNP</t>
  </si>
  <si>
    <t>1-5, 1-6, TNP</t>
  </si>
  <si>
    <t>1-2, 1-3, T146</t>
  </si>
  <si>
    <t>18-1, TNP</t>
  </si>
  <si>
    <t>5-2, 6-6, 18-4</t>
  </si>
  <si>
    <t>TN3</t>
  </si>
  <si>
    <t>5-1, 5-2, 7-1</t>
  </si>
  <si>
    <t>2-1, 5-2, 6-6, 18-4</t>
  </si>
  <si>
    <t>2-5, 2-6, 2-7, 2-8, 2-9, 4-2, 4-4, TNP</t>
  </si>
  <si>
    <t>8-1, TN4, TNP</t>
  </si>
  <si>
    <t>3-1, 4-6, 5-2, 5-4, 5-6, 8-1, 8-2</t>
  </si>
  <si>
    <t>1-2, 1-3, T148</t>
  </si>
  <si>
    <t>9-2, 9-3, 9-4, 9-5</t>
  </si>
  <si>
    <t>12-5, TNP</t>
  </si>
  <si>
    <t>12-1, 12-2, 12-7</t>
  </si>
  <si>
    <t>TN7</t>
  </si>
  <si>
    <t>12-1, 12-2, 12-3, TNP</t>
  </si>
  <si>
    <t>12-4, 12-5, 12-6, 12-7, TNP</t>
  </si>
  <si>
    <t>12-1, 12-2, 12-3, 12-4, 12-5, 12-6, TN8, TNP</t>
  </si>
  <si>
    <t>12-6,, 12-7</t>
  </si>
  <si>
    <t>14-3, 14-4, T166</t>
  </si>
  <si>
    <t>17-1, 17-2</t>
  </si>
  <si>
    <t>17-4, T169</t>
  </si>
  <si>
    <t>TN11, TNP</t>
  </si>
  <si>
    <t>9-2, 9-3, 9-4, 9-5, 12-10, 15-5</t>
  </si>
  <si>
    <t>20-9, T171</t>
  </si>
  <si>
    <t>20-3, 20-4, 20-8</t>
  </si>
  <si>
    <t>20-2, 20-8</t>
  </si>
  <si>
    <t>20-2, 20-8, TNP</t>
  </si>
  <si>
    <t>20-1</t>
  </si>
  <si>
    <t>1-9</t>
  </si>
  <si>
    <t>10-8</t>
  </si>
  <si>
    <t>5-5</t>
  </si>
  <si>
    <t>2-1</t>
  </si>
  <si>
    <t>7-5</t>
  </si>
  <si>
    <r>
      <t>P</t>
    </r>
    <r>
      <rPr>
        <sz val="10"/>
        <rFont val="Times New Roman"/>
        <family val="1"/>
      </rPr>
      <t>0706.1.3 Develop independent reasoning to communicate ideas and derive algorithms and formulas.</t>
    </r>
  </si>
  <si>
    <t>SPI 0606.4.4 Calculate circumference and area of circles.</t>
  </si>
  <si>
    <r>
      <t>P</t>
    </r>
    <r>
      <rPr>
        <sz val="10"/>
        <rFont val="Times New Roman"/>
        <family val="1"/>
      </rPr>
      <t>0606.4.11 Relate circumference of circle with perimeter of polygon.</t>
    </r>
  </si>
  <si>
    <r>
      <t>P</t>
    </r>
    <r>
      <rPr>
        <sz val="10"/>
        <rFont val="Times New Roman"/>
        <family val="1"/>
      </rPr>
      <t>0606.4.12 Derive meaning of Pi using concrete models.</t>
    </r>
  </si>
  <si>
    <r>
      <t>P</t>
    </r>
    <r>
      <rPr>
        <sz val="10"/>
        <rFont val="Times New Roman"/>
        <family val="1"/>
      </rPr>
      <t>0606.4.13 Understand relationships among radius, diameter, circumference, and area of circle (c/D = A/A</t>
    </r>
    <r>
      <rPr>
        <vertAlign val="superscript"/>
        <sz val="10"/>
        <rFont val="Times New Roman"/>
        <family val="1"/>
      </rPr>
      <t>2</t>
    </r>
    <r>
      <rPr>
        <sz val="10"/>
        <rFont val="Times New Roman"/>
        <family val="1"/>
      </rPr>
      <t xml:space="preserve"> = Pi)</t>
    </r>
  </si>
  <si>
    <r>
      <t>P</t>
    </r>
    <r>
      <rPr>
        <sz val="10"/>
        <rFont val="Times New Roman"/>
        <family val="1"/>
      </rPr>
      <t>3102.4.1 Using algebraic expressions solve for measures in geometric figures as well as for perimeter, area, volume.</t>
    </r>
  </si>
  <si>
    <r>
      <t>P</t>
    </r>
    <r>
      <rPr>
        <sz val="10"/>
        <rFont val="Times New Roman"/>
        <family val="1"/>
      </rPr>
      <t>0606.1.8 Determine an appropriate sample to test hypothesis.</t>
    </r>
  </si>
  <si>
    <r>
      <t>P</t>
    </r>
    <r>
      <rPr>
        <sz val="10"/>
        <rFont val="Times New Roman"/>
        <family val="1"/>
      </rPr>
      <t>0506.5.3 Design investigations to address a question and consider how data collection methods affect the nature of the data set.</t>
    </r>
  </si>
  <si>
    <r>
      <t>P</t>
    </r>
    <r>
      <rPr>
        <sz val="10"/>
        <rFont val="Times New Roman"/>
        <family val="1"/>
      </rPr>
      <t>0606.5.10 Distinguish between random and nonrandom sample.</t>
    </r>
  </si>
  <si>
    <r>
      <t>P</t>
    </r>
    <r>
      <rPr>
        <sz val="10"/>
        <rFont val="Times New Roman"/>
        <family val="1"/>
      </rPr>
      <t>0606.5.12 Predict characteristics of population based on analysis of sample data.</t>
    </r>
  </si>
  <si>
    <t>SPI 0606.5.3 Determine if sample is biased.</t>
  </si>
  <si>
    <r>
      <t>P</t>
    </r>
    <r>
      <rPr>
        <sz val="10"/>
        <rFont val="Times New Roman"/>
        <family val="1"/>
      </rPr>
      <t>0706.5.5 Evaluate the design of an experiment.</t>
    </r>
  </si>
  <si>
    <t>SPI 0606.1.1 Make conjectures and predictions based on data.</t>
  </si>
  <si>
    <r>
      <t>P</t>
    </r>
    <r>
      <rPr>
        <sz val="10"/>
        <rFont val="Times New Roman"/>
        <family val="1"/>
      </rPr>
      <t>0606.5.9 Determine sample space for a given situation.</t>
    </r>
  </si>
  <si>
    <t>SPI 0706.5.3 Calculate and interpret the mean, median, upper-quartile, lower-quartile, and interquartile range of a set of data.</t>
  </si>
  <si>
    <r>
      <t>P</t>
    </r>
    <r>
      <rPr>
        <sz val="10"/>
        <rFont val="Times New Roman"/>
        <family val="1"/>
      </rPr>
      <t>0206.5.3 Explain whether a real world event is likely or unlikely.</t>
    </r>
  </si>
  <si>
    <r>
      <t>P</t>
    </r>
    <r>
      <rPr>
        <sz val="10"/>
        <rFont val="Times New Roman"/>
        <family val="1"/>
      </rPr>
      <t>0406.5.7 Express a probability pictorially.</t>
    </r>
  </si>
  <si>
    <r>
      <t>P</t>
    </r>
    <r>
      <rPr>
        <sz val="10"/>
        <rFont val="Times New Roman"/>
        <family val="1"/>
      </rPr>
      <t>0606.1.7 Formulate questions design studies, and collect real world data.</t>
    </r>
  </si>
  <si>
    <r>
      <t>P</t>
    </r>
    <r>
      <rPr>
        <sz val="10"/>
        <rFont val="Times New Roman"/>
        <family val="1"/>
      </rPr>
      <t>0606.5.1 Understand probability of event is number between zero and one.</t>
    </r>
  </si>
  <si>
    <r>
      <t>P</t>
    </r>
    <r>
      <rPr>
        <sz val="10"/>
        <rFont val="Times New Roman"/>
        <family val="1"/>
      </rPr>
      <t>0606.5.2 Identify probability of event as ratio of actual occurrences to total number of possible occurrences.</t>
    </r>
  </si>
  <si>
    <r>
      <t>P</t>
    </r>
    <r>
      <rPr>
        <sz val="10"/>
        <rFont val="Times New Roman"/>
        <family val="1"/>
      </rPr>
      <t>0606.5.3 Express probabilities in different ways.</t>
    </r>
  </si>
  <si>
    <r>
      <t>P</t>
    </r>
    <r>
      <rPr>
        <sz val="10"/>
        <rFont val="Times New Roman"/>
        <family val="1"/>
      </rPr>
      <t>0606.5.4 Understand difference between probability and odds.</t>
    </r>
  </si>
  <si>
    <r>
      <t>P</t>
    </r>
    <r>
      <rPr>
        <sz val="10"/>
        <rFont val="Times New Roman"/>
        <family val="1"/>
      </rPr>
      <t>0606.5.5 Analyze a situation that involves probability of independent event.</t>
    </r>
  </si>
  <si>
    <r>
      <t>P</t>
    </r>
    <r>
      <rPr>
        <sz val="10"/>
        <rFont val="Times New Roman"/>
        <family val="1"/>
      </rPr>
      <t>0606.5.7 Apply procedures to calculate probability of complementary events.</t>
    </r>
  </si>
  <si>
    <r>
      <t>P</t>
    </r>
    <r>
      <rPr>
        <sz val="10"/>
        <rFont val="Times New Roman"/>
        <family val="1"/>
      </rPr>
      <t>0406.4.8 Recognize that a measure of area represents the total number of same-sized units that cover the shape without gaps or overlaps.</t>
    </r>
  </si>
  <si>
    <t>SPI 0406.5.1 Depict data using various representations (e.g., tables, pictographs, line graphs, bar graphs).</t>
  </si>
  <si>
    <t>SPI 0706.5.4 Use theoretical probability to make predictions.</t>
  </si>
  <si>
    <t>SPI 0806.5.1 Calculate probabilities of events.</t>
  </si>
  <si>
    <r>
      <t>P</t>
    </r>
    <r>
      <rPr>
        <sz val="10"/>
        <rFont val="Times New Roman"/>
        <family val="1"/>
      </rPr>
      <t>0806.5.2 Compare probabilities, recognize when equally likely to occur.</t>
    </r>
  </si>
  <si>
    <r>
      <t>P</t>
    </r>
    <r>
      <rPr>
        <sz val="10"/>
        <rFont val="Times New Roman"/>
        <family val="1"/>
      </rPr>
      <t>3102.5.16 Identify situations for which the Law of Large Numbers applies.</t>
    </r>
  </si>
  <si>
    <r>
      <t>P</t>
    </r>
    <r>
      <rPr>
        <sz val="10"/>
        <rFont val="Times New Roman"/>
        <family val="1"/>
      </rPr>
      <t>0806.5.1 Solve problems involving probability and relative frequency.</t>
    </r>
  </si>
  <si>
    <r>
      <t>P</t>
    </r>
    <r>
      <rPr>
        <sz val="10"/>
        <rFont val="Times New Roman"/>
        <family val="1"/>
      </rPr>
      <t>0606.5.6 Estimate probability of simple and compound events through experimentation or simulation.</t>
    </r>
  </si>
  <si>
    <r>
      <t>P</t>
    </r>
    <r>
      <rPr>
        <sz val="10"/>
        <rFont val="Times New Roman"/>
        <family val="1"/>
      </rPr>
      <t>0706.5.4 Use proportional reasoning to make predictions about results of experiments and simulations.</t>
    </r>
  </si>
  <si>
    <r>
      <t>P</t>
    </r>
    <r>
      <rPr>
        <sz val="10"/>
        <rFont val="Times New Roman"/>
        <family val="1"/>
      </rPr>
      <t>0406.5.6</t>
    </r>
  </si>
  <si>
    <r>
      <t>P</t>
    </r>
    <r>
      <rPr>
        <sz val="10"/>
        <rFont val="Times New Roman"/>
        <family val="1"/>
      </rPr>
      <t>0806.5.3 Recognize common misconceptions associated with dependent and independent events.</t>
    </r>
  </si>
  <si>
    <t>SPI 0606.5.1 Determine theoretical probability of simple and compound events.</t>
  </si>
  <si>
    <t>SPI 0806.5.2 Use a variety of methods to compute probabilities for compound events.</t>
  </si>
  <si>
    <r>
      <t>P</t>
    </r>
    <r>
      <rPr>
        <sz val="10"/>
        <rFont val="Times New Roman"/>
        <family val="1"/>
      </rPr>
      <t>0706.2.8 Apply ratios, rates, proportions, percents.</t>
    </r>
  </si>
  <si>
    <r>
      <t>P</t>
    </r>
    <r>
      <rPr>
        <sz val="10"/>
        <rFont val="Times New Roman"/>
        <family val="1"/>
      </rPr>
      <t>0706.2.10 When whole number is not a perfect square, can't be written as ratio.</t>
    </r>
  </si>
  <si>
    <t>SPI 0706.1.1 Use proportion reasoning to solve mixture/ concentration problems.</t>
  </si>
  <si>
    <r>
      <t>P</t>
    </r>
    <r>
      <rPr>
        <sz val="10"/>
        <rFont val="Times New Roman"/>
        <family val="1"/>
      </rPr>
      <t>0706.3.4 Make tables inputs x and outputs f(x) for a variety of rules that include rational numbers (including negative numbers) as inputs.</t>
    </r>
  </si>
  <si>
    <r>
      <t>P</t>
    </r>
    <r>
      <rPr>
        <sz val="10"/>
        <rFont val="Times New Roman"/>
        <family val="1"/>
      </rPr>
      <t>0706.2.2 Develop and analyze algorithms, compute with integers and rational numbers.</t>
    </r>
  </si>
  <si>
    <r>
      <t>P</t>
    </r>
    <r>
      <rPr>
        <sz val="10"/>
        <rFont val="Times New Roman"/>
        <family val="1"/>
      </rPr>
      <t>0706.2.5 -(-a) = a, multiplying integers.</t>
    </r>
  </si>
  <si>
    <r>
      <t>P</t>
    </r>
    <r>
      <rPr>
        <sz val="10"/>
        <rFont val="Times New Roman"/>
        <family val="1"/>
      </rPr>
      <t>0706.4.1 Solve problems involving indirect measurement such as finding the height of a building by comparing its shadow with the height and shadow of a known object.</t>
    </r>
  </si>
  <si>
    <r>
      <t>P</t>
    </r>
    <r>
      <rPr>
        <sz val="10"/>
        <rFont val="Times New Roman"/>
        <family val="1"/>
      </rPr>
      <t>0706.4.2 Use similar triangles and proportionality to find the lengths of unknown line segments in a triangle.</t>
    </r>
  </si>
  <si>
    <r>
      <t>P</t>
    </r>
    <r>
      <rPr>
        <sz val="10"/>
        <rFont val="Times New Roman"/>
        <family val="1"/>
      </rPr>
      <t>0706.4.4 Compare angles, side lengths, perimeters, and areas of similar shapes.</t>
    </r>
  </si>
  <si>
    <t>SPI 0606.4.5 Surface area and volume of prisms, pyramids, and cylinders.</t>
  </si>
  <si>
    <r>
      <t>P</t>
    </r>
    <r>
      <rPr>
        <sz val="10"/>
        <rFont val="Times New Roman"/>
        <family val="1"/>
      </rPr>
      <t>0206.5.4 Predict outcomes of events based on data gathered and displayed.</t>
    </r>
  </si>
  <si>
    <t xml:space="preserve">CC.2.G.3 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</si>
  <si>
    <t>I can count forward.</t>
  </si>
  <si>
    <t>I can count to 100 by ones.</t>
  </si>
  <si>
    <t>I can count to 100 by tens.</t>
  </si>
  <si>
    <t>I can write numbers 0-20.</t>
  </si>
  <si>
    <t>I can count with objects to 20.</t>
  </si>
  <si>
    <t>I can write the number of objects.</t>
  </si>
  <si>
    <t>I can match a number with its name.</t>
  </si>
  <si>
    <t>I can use numbers to count objects.I understand the last number I say is the total number of counted objects.</t>
  </si>
  <si>
    <t>I understand the last number I say is the total number of counted objects.</t>
  </si>
  <si>
    <t>I can count numbers in order by adding one.</t>
  </si>
  <si>
    <t>I can count objects 1-20 and answer “How many?”</t>
  </si>
  <si>
    <t>I understand numbers that are the same are equal.</t>
  </si>
  <si>
    <t>I can count the number of objects and see if there are fewer or more than</t>
  </si>
  <si>
    <t>I can join (add) two groups of objects.</t>
  </si>
  <si>
    <t>I can separate (subtract) a group and find the number that is left.</t>
  </si>
  <si>
    <t>I understand the number that shows more is greater.</t>
  </si>
  <si>
    <t>I understand the number that shows less is smaller.</t>
  </si>
  <si>
    <t>I can add (join) groups in story problems.</t>
  </si>
  <si>
    <t>I can separate (subtract) a group in story problems.</t>
  </si>
  <si>
    <t>I can separate up to 10 objects into groups in different ways.</t>
  </si>
  <si>
    <t>I can add (join) objects to make 10.</t>
  </si>
  <si>
    <t>I can add and subtract numbers to 5.</t>
  </si>
  <si>
    <t>I can add objects to make 19.</t>
  </si>
  <si>
    <t>I can make a group of ten and join some more up to 19.</t>
  </si>
  <si>
    <t>I can measure how long an object is.</t>
  </si>
  <si>
    <t>I can measure how wide an object is.</t>
  </si>
  <si>
    <t>CC.4.NF.7 Compare two decimals to hundredths by reasoning about their size. Recognize that comparisons comparisons are valid only when two decimals refer to the same whole. Record the results of comparisons with the symbols &gt;, =, or &lt;, and justify the conclusions, e.g., by using a visual model. (Grade 4 expectations in this domain are limited to fractions with denominators 2, 3, 4, 5, 6, 8, 10, 12, and 100.)</t>
  </si>
  <si>
    <t xml:space="preserve">CC.4.MD.1 Know relative sizes of measurement units within one system of units including km, m, cm; kg, g; lb, oz.; l, ml; hr, min, sec. Within a single system of measurement, express measurements in a larger unit in terms of a smaller unit. Record measurement equivalents in a two-column table. For example: Know that 1 ft is 12 times as long as 1 in. Express the length of a 4 ft snake as 48 in. Generate a conversion table for feet and inches listing the number pairs (1, 12), (2, 24), (3, 36), …. </t>
  </si>
  <si>
    <t>CC.4.MD.2 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</si>
  <si>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t>CC.4.MD.3 Apply the area and perimeter formulas for rectangles in real world and mathematical problems. For example, find the width of a rectangular room given the area of the flooring and the length, by viewing the area formula as a multiplication equation with an unknown factor.</t>
  </si>
  <si>
    <t>CC.4.MD.4 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</si>
  <si>
    <t>CC.6.EE.5 Understand solving an equation or inequality as a process of answering a question: which values from a specified set, if any, make the equation or inequality true? Use substitution to determine whether a given number in a specified set makes an equation or inequality true.</t>
  </si>
  <si>
    <t>CC.6.EE.6 Use variables to represent numbers and write expressions when solving a real-world or mathematical problem; understand that a variable can represent an unknown number, or, depending on the purpose at hand, any number in a specified set.</t>
  </si>
  <si>
    <t>CC.6.EE.7 Solve real-world and mathematical problems by writing and solving equations of the form x + p = q and px = q for cases in which p, q and x are all nonnegative rational numbers.</t>
  </si>
  <si>
    <t>CC.6.EE.8 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</si>
  <si>
    <t>CC.6.EE.9 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</si>
  <si>
    <r>
      <t>P</t>
    </r>
    <r>
      <rPr>
        <sz val="10"/>
        <rFont val="Times New Roman"/>
        <family val="1"/>
      </rPr>
      <t>0106.3.8 Determine whether a number is odd or even by pairing objects.</t>
    </r>
  </si>
  <si>
    <t>GLE 0206.2.4 Develop an initial understanding of multiplication.</t>
  </si>
  <si>
    <t>GLE 0206.3.2 Extend knowledge of the properties of numbers and operations to multiplication.</t>
  </si>
  <si>
    <r>
      <t>P</t>
    </r>
    <r>
      <rPr>
        <sz val="10"/>
        <rFont val="Times New Roman"/>
        <family val="1"/>
      </rPr>
      <t>0206.2.13 Relate patterns in skip counting to multiplication.</t>
    </r>
  </si>
  <si>
    <r>
      <t>P</t>
    </r>
    <r>
      <rPr>
        <sz val="10"/>
        <rFont val="Times New Roman"/>
        <family val="1"/>
      </rPr>
      <t>0206.3.6 Relate repeated addition to multiplication.</t>
    </r>
  </si>
  <si>
    <r>
      <t>P</t>
    </r>
    <r>
      <rPr>
        <sz val="10"/>
        <rFont val="Times New Roman"/>
        <family val="1"/>
      </rPr>
      <t>0206.3.4 Generalize the patterns resulting from the addition, subtraction, and multiplication of combinations of odd and even numbers.</t>
    </r>
  </si>
  <si>
    <r>
      <t>P</t>
    </r>
    <r>
      <rPr>
        <sz val="10"/>
        <rFont val="Times New Roman"/>
        <family val="1"/>
      </rPr>
      <t>0206.2.4 Recognize that place-value notation represents the sums of multiples of powers of 10 (e.g., 853 as 8 hundreds + 5 tens + 3 ones).</t>
    </r>
  </si>
  <si>
    <r>
      <t>P</t>
    </r>
    <r>
      <rPr>
        <sz val="10"/>
        <rFont val="Times New Roman"/>
        <family val="1"/>
      </rPr>
      <t>0206.2.12 Demonstrate skip counting on the number line and relate to repeated addition and multiplication.</t>
    </r>
  </si>
  <si>
    <r>
      <t>P</t>
    </r>
    <r>
      <rPr>
        <sz val="10"/>
        <rFont val="Times New Roman"/>
        <family val="1"/>
      </rPr>
      <t>0206.2.2 Read and write numbers up to 1000 using numerals and up to 100 using words.</t>
    </r>
  </si>
  <si>
    <r>
      <t>P</t>
    </r>
    <r>
      <rPr>
        <sz val="10"/>
        <rFont val="Times New Roman"/>
        <family val="1"/>
      </rPr>
      <t>0206.2.5 Compare and order multi-digit numbers up to 1000.</t>
    </r>
  </si>
  <si>
    <r>
      <t>P</t>
    </r>
    <r>
      <rPr>
        <sz val="10"/>
        <rFont val="Times New Roman"/>
        <family val="1"/>
      </rPr>
      <t>0206.3.5 Understand and use the commutative and associative properties of addition and multiplication.</t>
    </r>
  </si>
  <si>
    <r>
      <t>P</t>
    </r>
    <r>
      <rPr>
        <sz val="10"/>
        <rFont val="Times New Roman"/>
        <family val="1"/>
      </rPr>
      <t>0206.2.10 Add three two-digit numbers.</t>
    </r>
  </si>
  <si>
    <r>
      <t>P</t>
    </r>
    <r>
      <rPr>
        <sz val="10"/>
        <rFont val="Times New Roman"/>
        <family val="1"/>
      </rPr>
      <t>0206.1.11 Use manipulatives to demonstrate addition and subtraction sentences written symbolically.</t>
    </r>
  </si>
  <si>
    <r>
      <t>P</t>
    </r>
    <r>
      <rPr>
        <sz val="10"/>
        <rFont val="Times New Roman"/>
        <family val="1"/>
      </rPr>
      <t>0206.2.6 Use various models such as number lines, pictures, and base-ten blocks to illustrate addition and subtraction.</t>
    </r>
  </si>
  <si>
    <r>
      <t>P</t>
    </r>
    <r>
      <rPr>
        <sz val="10"/>
        <rFont val="Times New Roman"/>
        <family val="1"/>
      </rPr>
      <t>0206.2.9 Apply appropriate methods to estimate and mentally calculate sums or differences with ones, tens, and hundreds.</t>
    </r>
  </si>
  <si>
    <t>Throughout</t>
  </si>
  <si>
    <t>GLE 0206.2.1 Understand and use place value concepts to 1000.</t>
  </si>
  <si>
    <t>GLE 0206.2.2 Understand and use the base-ten numeration system.</t>
  </si>
  <si>
    <t>GLE 0206.2.3 Use efficient and accurate strategies to develop fluency with multi-digit addition and subtraction.</t>
  </si>
  <si>
    <t>2.NBT.1b I can tell the number of hundreds in a three-digit number</t>
  </si>
  <si>
    <t>GLE 0806.4.3 Understand the necessary levels of accuracy and precision in measurement.</t>
  </si>
  <si>
    <t>GLE 0806.4.4 Understand both metric and customary units of measurement.</t>
  </si>
  <si>
    <r>
      <t>P</t>
    </r>
    <r>
      <rPr>
        <sz val="10"/>
        <rFont val="Times New Roman"/>
        <family val="1"/>
      </rPr>
      <t>0206.4.4 Estimate, measure and calculate length to the nearest unit (meter, centimeter, yard, foot, and inch).</t>
    </r>
  </si>
  <si>
    <r>
      <t>P</t>
    </r>
    <r>
      <rPr>
        <sz val="10"/>
        <rFont val="Times New Roman"/>
        <family val="1"/>
      </rPr>
      <t>0406.1.5 Measure using ruler, meter stick, clock, thermometer, or other scaled instruments.</t>
    </r>
  </si>
  <si>
    <r>
      <t>P</t>
    </r>
    <r>
      <rPr>
        <sz val="10"/>
        <rFont val="Times New Roman"/>
        <family val="1"/>
      </rPr>
      <t>0506.4.12 Develop strategies for choosing correct tools of measurement.</t>
    </r>
  </si>
  <si>
    <r>
      <t>P</t>
    </r>
    <r>
      <rPr>
        <sz val="10"/>
        <rFont val="Times New Roman"/>
        <family val="1"/>
      </rPr>
      <t>0806.4.4 Precision of measurement.</t>
    </r>
  </si>
  <si>
    <r>
      <t>P</t>
    </r>
    <r>
      <rPr>
        <sz val="10"/>
        <rFont val="Times New Roman"/>
        <family val="1"/>
      </rPr>
      <t>0106.2.17 Use the number line to create visual representations of sequences (such as even numbers, tens, multiples of five).</t>
    </r>
  </si>
  <si>
    <r>
      <t>P</t>
    </r>
    <r>
      <rPr>
        <sz val="10"/>
        <rFont val="Times New Roman"/>
        <family val="1"/>
      </rPr>
      <t>0106.2.16 Represent whole numbers up to 100 on a number line.</t>
    </r>
  </si>
  <si>
    <r>
      <t>P</t>
    </r>
    <r>
      <rPr>
        <sz val="10"/>
        <rFont val="Times New Roman"/>
        <family val="1"/>
      </rPr>
      <t>0006.1.6 Name and identify coins and their values.</t>
    </r>
  </si>
  <si>
    <r>
      <t>P</t>
    </r>
    <r>
      <rPr>
        <sz val="10"/>
        <rFont val="Times New Roman"/>
        <family val="1"/>
      </rPr>
      <t>0206.2.3 Locate and interpret numbers on a number line.</t>
    </r>
  </si>
  <si>
    <r>
      <t>P</t>
    </r>
    <r>
      <rPr>
        <sz val="10"/>
        <rFont val="Times New Roman"/>
        <family val="1"/>
      </rPr>
      <t>0206.1.4 Solve problems involving elapsed time in hour and half-hour intervals.</t>
    </r>
  </si>
  <si>
    <r>
      <t>P</t>
    </r>
    <r>
      <rPr>
        <sz val="10"/>
        <rFont val="Times New Roman"/>
        <family val="1"/>
      </rPr>
      <t>0206.1.1 Read and write time up to five minute intervals.</t>
    </r>
  </si>
  <si>
    <r>
      <t>P</t>
    </r>
    <r>
      <rPr>
        <sz val="10"/>
        <rFont val="Times New Roman"/>
        <family val="1"/>
      </rPr>
      <t>0006.1.3 Use words to describe time (e.g., day, night, morning, afternoon, yesterday, today, tomorrow).</t>
    </r>
  </si>
  <si>
    <r>
      <t>P</t>
    </r>
    <r>
      <rPr>
        <sz val="10"/>
        <rFont val="Times New Roman"/>
        <family val="1"/>
      </rPr>
      <t>0206.1.5 Count the value of a set of coins up to one dollar and use the transitive property of equality to recognize equivalent forms of values up to $1.00.</t>
    </r>
  </si>
  <si>
    <r>
      <t>P</t>
    </r>
    <r>
      <rPr>
        <sz val="10"/>
        <rFont val="Times New Roman"/>
        <family val="1"/>
      </rPr>
      <t>0406.1.3 Connect operations with decimals to money and make estimates.</t>
    </r>
  </si>
  <si>
    <r>
      <t>P</t>
    </r>
    <r>
      <rPr>
        <sz val="10"/>
        <rFont val="Times New Roman"/>
        <family val="1"/>
      </rPr>
      <t>0306.1.3 Count the value of combinations of coins and bills up to five dollars.</t>
    </r>
  </si>
  <si>
    <r>
      <t>P</t>
    </r>
    <r>
      <rPr>
        <sz val="10"/>
        <rFont val="Times New Roman"/>
        <family val="1"/>
      </rPr>
      <t>0106.1.4 Count the value of a set of coins up to fifty cents.</t>
    </r>
  </si>
  <si>
    <t>SPI 0306.1.3 Determine the correct change from a transaction less than a dollar.</t>
  </si>
  <si>
    <t>SPI 0406.1.3 Determine the correct change from a transaction.</t>
  </si>
  <si>
    <r>
      <t>P</t>
    </r>
    <r>
      <rPr>
        <sz val="10"/>
        <rFont val="Times New Roman"/>
        <family val="1"/>
      </rPr>
      <t>0206.5.1 Read, interpret, and analyze data shown in tables, bar graphs, and picture graphs.</t>
    </r>
  </si>
  <si>
    <t>GLE 0206.5.1 Use and understand various representations to depict and analyze data measurements.</t>
  </si>
  <si>
    <t>GLE 0206.1.5 Use mathematical ideas and processes in different settings to formulate patterns, analyze graphs, set up and solve problems and interpret solutions.</t>
  </si>
  <si>
    <r>
      <t>P</t>
    </r>
    <r>
      <rPr>
        <sz val="10"/>
        <rFont val="Times New Roman"/>
        <family val="1"/>
      </rPr>
      <t>0206.4.1 Describe common geometric attributes of familiar plane and solid objects.</t>
    </r>
  </si>
  <si>
    <r>
      <t>P</t>
    </r>
    <r>
      <rPr>
        <sz val="10"/>
        <rFont val="Times New Roman"/>
        <family val="1"/>
      </rPr>
      <t xml:space="preserve"> 0206.1.8 Use concrete models or pictures to show whether a fraction is less than a half, more than a half, or equal to a half.</t>
    </r>
  </si>
  <si>
    <r>
      <t>P</t>
    </r>
    <r>
      <rPr>
        <sz val="10"/>
        <rFont val="Times New Roman"/>
        <family val="1"/>
      </rPr>
      <t>0206.1.9 Match the spoken, written, concrete, and pictorial representations of halves, thirds, and fourths.</t>
    </r>
  </si>
  <si>
    <t>GLE 0206.4.4 Compose and decompose polygons to make other polygons.</t>
  </si>
  <si>
    <t>GLE 0206.1.6 Read and interpret the language of mathematics and use written/oral communication to express mathematical ideas precisely.</t>
  </si>
  <si>
    <r>
      <t>P</t>
    </r>
    <r>
      <rPr>
        <sz val="10"/>
        <rFont val="Times New Roman"/>
        <family val="1"/>
      </rPr>
      <t>0206.2.1 Starting at any number, count by ones, twos, fives, tens, and hundreds up to 1000.</t>
    </r>
  </si>
  <si>
    <r>
      <t>P</t>
    </r>
    <r>
      <rPr>
        <sz val="10"/>
        <rFont val="Times New Roman"/>
        <family val="1"/>
      </rPr>
      <t>0206.2.8 Use efficient procedures, and understand why they work, to solve problems involving the addition and subtraction of two- and three-digit whole numbers (including those that require regrouping).</t>
    </r>
  </si>
  <si>
    <r>
      <t>P</t>
    </r>
    <r>
      <rPr>
        <sz val="10"/>
        <rFont val="Times New Roman"/>
        <family val="1"/>
      </rPr>
      <t>0206.1.3 Use strategies to make estimates of time.</t>
    </r>
  </si>
  <si>
    <t>GLE 0206.4.1 Recognize, classify, and transform two- and three-dimensional geometric figures.</t>
  </si>
  <si>
    <t>SPI 0306.2.6 Recall basic multiplication facts through 10 times 10 and the related division facts.</t>
  </si>
  <si>
    <t>SPI 0306.2.1 Read and write numbers up to 10,000 in numerals and up to 1000 in words.</t>
  </si>
  <si>
    <t>SPI 0306.2.3 Convert between expanded and standard form with whole numbers to 10,000.</t>
  </si>
  <si>
    <r>
      <t>P</t>
    </r>
    <r>
      <rPr>
        <sz val="10"/>
        <rFont val="Times New Roman"/>
        <family val="1"/>
      </rPr>
      <t>0306.2.4 Use a variety of methods to perform mental computations and compare the efficiency of those methods.</t>
    </r>
  </si>
  <si>
    <r>
      <t>P</t>
    </r>
    <r>
      <rPr>
        <sz val="10"/>
        <rFont val="Times New Roman"/>
        <family val="1"/>
      </rPr>
      <t>0206.3.3 Record and study patterns in lists of numbers created by repeated addition or subtraction.</t>
    </r>
  </si>
  <si>
    <r>
      <t>P</t>
    </r>
    <r>
      <rPr>
        <sz val="10"/>
        <rFont val="Times New Roman"/>
        <family val="1"/>
      </rPr>
      <t>0306.1.4 Analyze problems by identifying relationships, distinguishing relevant from irrelevant information, and observing patterns.</t>
    </r>
  </si>
  <si>
    <r>
      <t>P</t>
    </r>
    <r>
      <rPr>
        <sz val="10"/>
        <rFont val="Times New Roman"/>
        <family val="1"/>
      </rPr>
      <t>0306.1.12 Analyze and evaluate the mathematical thinking and strategies of others.</t>
    </r>
  </si>
  <si>
    <r>
      <t>P</t>
    </r>
    <r>
      <rPr>
        <sz val="10"/>
        <rFont val="Times New Roman"/>
        <family val="1"/>
      </rPr>
      <t>0306.1.10 Use correct, clearly written and oral mathematical language to pose questions and communicate ideas.</t>
    </r>
  </si>
  <si>
    <r>
      <t>P</t>
    </r>
    <r>
      <rPr>
        <sz val="10"/>
        <rFont val="Times New Roman"/>
        <family val="1"/>
      </rPr>
      <t>0306.1.7 Make and investigate mathematical conjectures.</t>
    </r>
  </si>
  <si>
    <r>
      <t>P</t>
    </r>
    <r>
      <rPr>
        <sz val="10"/>
        <rFont val="Times New Roman"/>
        <family val="1"/>
      </rPr>
      <t>0306.1.8 Explain and justify answers on the basis of mathematical properties, structures, and relationships.</t>
    </r>
  </si>
  <si>
    <r>
      <t>P</t>
    </r>
    <r>
      <rPr>
        <sz val="10"/>
        <rFont val="Times New Roman"/>
        <family val="1"/>
      </rPr>
      <t>0306.3.7 Create different representations of a pattern given a verbal description.</t>
    </r>
  </si>
  <si>
    <r>
      <t>P</t>
    </r>
    <r>
      <rPr>
        <sz val="10"/>
        <rFont val="Times New Roman"/>
        <family val="1"/>
      </rPr>
      <t>0306.1.5 Determine when and how to break a problem into simpler parts.</t>
    </r>
  </si>
  <si>
    <r>
      <t>P</t>
    </r>
    <r>
      <rPr>
        <sz val="10"/>
        <rFont val="Times New Roman"/>
        <family val="1"/>
      </rPr>
      <t>0306.2.6 Solve a variety of addition and subtraction story problems including those with irrelevant information.</t>
    </r>
  </si>
  <si>
    <r>
      <t>P</t>
    </r>
    <r>
      <rPr>
        <sz val="10"/>
        <rFont val="Times New Roman"/>
        <family val="1"/>
      </rPr>
      <t>0306.2.7 Represent multiplication using various representations such as equal-size groups, arrays, area models, and equal jumps on number lines.</t>
    </r>
  </si>
  <si>
    <t>SPI 0306.2.7 Compute multiplication problems that involve multiples of ten using basic number facts.</t>
  </si>
  <si>
    <t>SPI 0306.3.3 Find the missing values in simple multiplication and division equations.</t>
  </si>
  <si>
    <t>SPI 0306.1.5 Represent problems mathematically using diagrams, numbers, and symbolic expressions.</t>
  </si>
  <si>
    <r>
      <t>P</t>
    </r>
    <r>
      <rPr>
        <sz val="10"/>
        <rFont val="Times New Roman"/>
        <family val="1"/>
      </rPr>
      <t>0306.2.8 Represent division using various representations such as successive subtraction, the number of equal jumps, partitioning, and sharing.</t>
    </r>
  </si>
  <si>
    <t>SPI 0306.3.1 Verify a conclusion using algebraic properties.</t>
  </si>
  <si>
    <r>
      <t>P</t>
    </r>
    <r>
      <rPr>
        <sz val="10"/>
        <rFont val="Times New Roman"/>
        <family val="1"/>
      </rPr>
      <t>0306.3.1 Show that addition and multiplication are commutative operations.</t>
    </r>
  </si>
  <si>
    <t>GLE 0306.3.1 Develop meaning for and apply the commutative, associative, and distributive properties using various representations.</t>
  </si>
  <si>
    <r>
      <t>P</t>
    </r>
    <r>
      <rPr>
        <sz val="10"/>
        <rFont val="Times New Roman"/>
        <family val="1"/>
      </rPr>
      <t>0306.3.2 Show that subtraction and division are not commutative operations.</t>
    </r>
  </si>
  <si>
    <r>
      <t>P</t>
    </r>
    <r>
      <rPr>
        <sz val="10"/>
        <rFont val="Times New Roman"/>
        <family val="1"/>
      </rPr>
      <t>0306.1.9 Use manipulatives to demonstrate the commutative properties, structures, and relationships.</t>
    </r>
  </si>
  <si>
    <r>
      <t>P</t>
    </r>
    <r>
      <rPr>
        <sz val="10"/>
        <rFont val="Times New Roman"/>
        <family val="1"/>
      </rPr>
      <t>0306.2.9 Describe contexts for multiplication and division facts.</t>
    </r>
  </si>
  <si>
    <r>
      <t>P</t>
    </r>
    <r>
      <rPr>
        <sz val="10"/>
        <rFont val="Times New Roman"/>
        <family val="1"/>
      </rPr>
      <t>0406.1.4 Use commutative, associative, and distributive properties of numbers including oral descriptions of mathematical reasoning.</t>
    </r>
  </si>
  <si>
    <r>
      <t>P</t>
    </r>
    <r>
      <rPr>
        <sz val="10"/>
        <rFont val="Times New Roman"/>
        <family val="1"/>
      </rPr>
      <t>0406.2.10 Use models to understand division as the inverse of multiplication, partitioning, and repeated subtraction.</t>
    </r>
  </si>
  <si>
    <r>
      <t>P</t>
    </r>
    <r>
      <rPr>
        <sz val="10"/>
        <rFont val="Times New Roman"/>
        <family val="1"/>
      </rPr>
      <t>0306.3.4 Solve problems using the commutative, associative, and distributive properties.</t>
    </r>
  </si>
  <si>
    <r>
      <t>P</t>
    </r>
    <r>
      <rPr>
        <sz val="10"/>
        <rFont val="Times New Roman"/>
        <family val="1"/>
      </rPr>
      <t>0306.3.3 Use commutative, associative, and distributive properties to multiply whole numbers.</t>
    </r>
  </si>
  <si>
    <t>SPI 0306.2.5 Identify various representations of multiplication and division.</t>
  </si>
  <si>
    <t>GLE 0306.3.3 Describe and analyze patterns and relationships in contexts.</t>
  </si>
  <si>
    <r>
      <t>P</t>
    </r>
    <r>
      <rPr>
        <sz val="10"/>
        <rFont val="Times New Roman"/>
        <family val="1"/>
      </rPr>
      <t>0406.2.5 Understand that division by zero is undefined.</t>
    </r>
  </si>
  <si>
    <t>SPI 0306.3.2 Express mathematical relationships using number sentences/equations.</t>
  </si>
  <si>
    <t>SPI 0306.2.9 Solve contextual problems involving the addition (with and without regrouping) and subtraction (with and without regrouping) of two- and three-digit whole numbers.</t>
  </si>
  <si>
    <r>
      <t>P</t>
    </r>
    <r>
      <rPr>
        <sz val="10"/>
        <rFont val="Times New Roman"/>
        <family val="1"/>
      </rPr>
      <t>0306.1.6 Use estimation to check answers for reasonableness, and calculators to check for accuracy.</t>
    </r>
  </si>
  <si>
    <t>SPI 0306.3.4 Describe or extend (including finding missing terms) geometric and numeric patterns.</t>
  </si>
  <si>
    <t>SPI 0306.2.2 Identify the place value of numbers in the ten-thousands, thousands, hundreds, tens, and ones positions.</t>
  </si>
  <si>
    <r>
      <t>P</t>
    </r>
    <r>
      <rPr>
        <sz val="10"/>
        <rFont val="Times New Roman"/>
        <family val="1"/>
      </rPr>
      <t>0306.2.1 Represent whole numbers up to 10,000 using various models (such as base-ten blocks, number lines, place-value charts) and in standard form, written form, and expanded form.</t>
    </r>
  </si>
  <si>
    <r>
      <t>P</t>
    </r>
    <r>
      <rPr>
        <sz val="10"/>
        <rFont val="Times New Roman"/>
        <family val="1"/>
      </rPr>
      <t>0306.2.5 Use highest order value (such as tens or hundreds digit) to make simple estimates.</t>
    </r>
  </si>
  <si>
    <t>SPI 0306.2.4 Compare and order numbers up to 10,000 using the words less than, greater than, and equal to, and the symbols &lt;, &gt;, and =.</t>
  </si>
  <si>
    <r>
      <t>P</t>
    </r>
    <r>
      <rPr>
        <sz val="10"/>
        <rFont val="Times New Roman"/>
        <family val="1"/>
      </rPr>
      <t>0306.2.2 Understand and use the symbols =, &lt;, and &gt; to signify order and comparison.</t>
    </r>
  </si>
  <si>
    <r>
      <t>P</t>
    </r>
    <r>
      <rPr>
        <sz val="10"/>
        <rFont val="Times New Roman"/>
        <family val="1"/>
      </rPr>
      <t>0306.3.8 Analyze patterns in quantitative change resulting from computation.</t>
    </r>
  </si>
  <si>
    <t>SPI 0306.1.4 Match the spoken, written, concrete, and pictorial representations of fractions with denominators up to ten.</t>
  </si>
  <si>
    <t>SPI 0306.2.10 Identify equivalent fractions given by various representations.</t>
  </si>
  <si>
    <r>
      <t>P</t>
    </r>
    <r>
      <rPr>
        <sz val="10"/>
        <rFont val="Times New Roman"/>
        <family val="1"/>
      </rPr>
      <t>0306.2.11 Identify fractions as parts of whole units, as parts of sets, as locations on number lines, and as division of two whole numbers.</t>
    </r>
  </si>
  <si>
    <r>
      <t>P</t>
    </r>
    <r>
      <rPr>
        <sz val="10"/>
        <rFont val="Times New Roman"/>
        <family val="1"/>
      </rPr>
      <t>0306.2.13 Understand that when a whole is divided into equal parts to create unit fractions, the sum of all the parts adds up to one.</t>
    </r>
  </si>
  <si>
    <r>
      <t>P</t>
    </r>
    <r>
      <rPr>
        <sz val="10"/>
        <rFont val="Times New Roman"/>
        <family val="1"/>
      </rPr>
      <t>0306.2.10 Understand that symbols such as 1/2, 1/3, and 1/4 represent numbers called unit fractions.</t>
    </r>
  </si>
  <si>
    <t>SPI 0306.2.11 Recognize and use different interpretations of fractions.</t>
  </si>
  <si>
    <t>SPI 0306.2.13 Recognize, compare, and order fractions (benchmark fractions, common numerators, or common denominators).</t>
  </si>
  <si>
    <t>SPI 0306.2.12 Name fractions in various contexts that are less than, equal to, or greater than one.</t>
  </si>
  <si>
    <r>
      <t>P</t>
    </r>
    <r>
      <rPr>
        <sz val="10"/>
        <rFont val="Times New Roman"/>
        <family val="1"/>
      </rPr>
      <t>0306.2.12 Compare fractions using drawings, concrete objects, and benchmark fractions.</t>
    </r>
  </si>
  <si>
    <t>SPI 0306.1.7 Select appropriate units and tools to solve problems involving measures.</t>
  </si>
  <si>
    <t>SPI 0306.4.5 Choose reasonable units of measure, estimate common measurements using benchmarks, and use appropriate tools to make measurements.</t>
  </si>
  <si>
    <r>
      <t>P</t>
    </r>
    <r>
      <rPr>
        <sz val="10"/>
        <rFont val="Times New Roman"/>
        <family val="1"/>
      </rPr>
      <t>0306.1.1 Read and write time to the nearest minute.</t>
    </r>
  </si>
  <si>
    <t>SPI 0306.1.2 Solve problems involving elapsed time.</t>
  </si>
  <si>
    <r>
      <t>P</t>
    </r>
    <r>
      <rPr>
        <sz val="10"/>
        <rFont val="Times New Roman"/>
        <family val="1"/>
      </rPr>
      <t>0206.1.7 Measure weight to the nearest pound or kilogram.</t>
    </r>
  </si>
  <si>
    <r>
      <t>P</t>
    </r>
    <r>
      <rPr>
        <sz val="10"/>
        <rFont val="Times New Roman"/>
        <family val="1"/>
      </rPr>
      <t>0306.4.6 Recognize the use of fractions in liquid measures.</t>
    </r>
  </si>
  <si>
    <r>
      <t>P</t>
    </r>
    <r>
      <rPr>
        <sz val="10"/>
        <rFont val="Times New Roman"/>
        <family val="1"/>
      </rPr>
      <t>0306.4.9 Measure weight to the nearest ounce or gram.</t>
    </r>
  </si>
  <si>
    <r>
      <t>P</t>
    </r>
    <r>
      <rPr>
        <sz val="10"/>
        <rFont val="Times New Roman"/>
        <family val="1"/>
      </rPr>
      <t>0306.4.5 Understand that all measurements require units.</t>
    </r>
  </si>
  <si>
    <r>
      <t>P</t>
    </r>
    <r>
      <rPr>
        <sz val="10"/>
        <rFont val="Times New Roman"/>
        <family val="1"/>
      </rPr>
      <t>0306.4.7 Recognize the relationships among cups, pints, quarts, and gallons.</t>
    </r>
  </si>
  <si>
    <r>
      <t>P</t>
    </r>
    <r>
      <rPr>
        <sz val="10"/>
        <rFont val="Times New Roman"/>
        <family val="1"/>
      </rPr>
      <t>0306.4.8 Estimate and/or measure the capacity of a container.</t>
    </r>
  </si>
  <si>
    <t>0306.1.11 Develop strategies for solving problems involving addition and subtraction of measurements.</t>
  </si>
  <si>
    <t>SPI 0306.5.3 Make predictions based on various representations of data.</t>
  </si>
  <si>
    <r>
      <t>P</t>
    </r>
    <r>
      <rPr>
        <sz val="10"/>
        <rFont val="Times New Roman"/>
        <family val="1"/>
      </rPr>
      <t>0306.3.6 Analyze patterns in words, tables, and graphs to draw conclusions.</t>
    </r>
  </si>
  <si>
    <t>SPI 0306.5.1 Interpret a frequency table, bar graph, pictograph, or line plot.</t>
  </si>
  <si>
    <r>
      <t>P</t>
    </r>
    <r>
      <rPr>
        <sz val="10"/>
        <rFont val="Times New Roman"/>
        <family val="1"/>
      </rPr>
      <t>0306.5.2 Construct a frequency table, bar graph, pictograph, or line plot of collected data.</t>
    </r>
  </si>
  <si>
    <r>
      <t>P</t>
    </r>
    <r>
      <rPr>
        <sz val="10"/>
        <rFont val="Times New Roman"/>
        <family val="1"/>
      </rPr>
      <t>0306.1.13 Create and use representations to organize, record, and communicate mathematical ideas.</t>
    </r>
  </si>
  <si>
    <r>
      <t>P</t>
    </r>
    <r>
      <rPr>
        <sz val="10"/>
        <rFont val="Times New Roman"/>
        <family val="1"/>
      </rPr>
      <t>0306.5.4 Solve problems using data from frequency tables, bar graphs, pictographs, or line plots.</t>
    </r>
  </si>
  <si>
    <t>SPI 0306.5.2 Solve problems in which data is represented in tables or graphs.</t>
  </si>
  <si>
    <r>
      <t>P</t>
    </r>
    <r>
      <rPr>
        <sz val="10"/>
        <rFont val="Times New Roman"/>
        <family val="1"/>
      </rPr>
      <t>0306.4.12 Make and record measurements that use mixed units within the same system of measurement (such as feet and inches, meters and centimeters).</t>
    </r>
  </si>
  <si>
    <r>
      <t>P</t>
    </r>
    <r>
      <rPr>
        <sz val="10"/>
        <rFont val="Times New Roman"/>
        <family val="1"/>
      </rPr>
      <t>0306.5.1 Collect and organize data using observations, surveys, and experiments.</t>
    </r>
  </si>
  <si>
    <r>
      <t>P</t>
    </r>
    <r>
      <rPr>
        <sz val="10"/>
        <rFont val="Times New Roman"/>
        <family val="1"/>
      </rPr>
      <t>0306.4.10 Use reasonable units of length (i.e., kilometer, meter, centimeter; mile, yard, foot, inch) in estimates and measures.</t>
    </r>
  </si>
  <si>
    <r>
      <t>P</t>
    </r>
    <r>
      <rPr>
        <sz val="10"/>
        <rFont val="Times New Roman"/>
        <family val="1"/>
      </rPr>
      <t>0306.4.13 Use common abbreviations: km, m, cm, in, ft, yd, mi.</t>
    </r>
  </si>
  <si>
    <t>SPI 3102.4.1 Develop and apply strategies to estimate the area of any shape on a plane grid.</t>
  </si>
  <si>
    <t>SPI 0306.4.6 Measure length to the nearest centimeter or half-inch.</t>
  </si>
  <si>
    <t>SPI 0306.4.4 Calculate the perimeter of shapes made from polygons.</t>
  </si>
  <si>
    <r>
      <t>P</t>
    </r>
    <r>
      <rPr>
        <sz val="10"/>
        <rFont val="Times New Roman"/>
        <family val="1"/>
      </rPr>
      <t>0306.4.2 Classify polygons according to the number of their sides and angles.</t>
    </r>
  </si>
  <si>
    <t>SPI 0306.4.1 Recognize polygons and be able to identify examples based on geometric definitions.</t>
  </si>
  <si>
    <r>
      <t>P</t>
    </r>
    <r>
      <rPr>
        <sz val="10"/>
        <rFont val="Times New Roman"/>
        <family val="1"/>
      </rPr>
      <t>0306.2.1 Represent whole numbers up to 10,000 using various models (such as based-ten blocks, number lines, place-value charts) and in standard form, written form, and expanded form.</t>
    </r>
  </si>
  <si>
    <r>
      <t>P</t>
    </r>
    <r>
      <rPr>
        <sz val="10"/>
        <rFont val="Times New Roman"/>
        <family val="1"/>
      </rPr>
      <t>0206.3.2 Given a description, extend or find a missing term in a pattern or sequence.</t>
    </r>
  </si>
  <si>
    <r>
      <t>P</t>
    </r>
    <r>
      <rPr>
        <sz val="10"/>
        <rFont val="Times New Roman"/>
        <family val="1"/>
      </rPr>
      <t>0306.3.5 Find unknowns in number sentences and problems involving addition, subtraction, multiplication, or division.</t>
    </r>
  </si>
  <si>
    <t>SPI 0306.1.8 Express answers clearly in verbal, numerical, or graphical (bar and picture) form, using units when appropriate.</t>
  </si>
  <si>
    <r>
      <t>P</t>
    </r>
    <r>
      <rPr>
        <sz val="10"/>
        <rFont val="Times New Roman"/>
        <family val="1"/>
      </rPr>
      <t>0306.4.11 Know common equivalences for length (1 meter = 100 centimeters, 1 yard = 3 feet, 1 foot = 12 inches).</t>
    </r>
  </si>
  <si>
    <t>SPI 0306.2.8 Solve problems that involve the inverse relationship between multiplication and division.</t>
  </si>
  <si>
    <t>SPI 0606.4.3 Solve problems using Triangle Inequality Theorem.</t>
  </si>
  <si>
    <t>SPI 0806.5.3 Scatterplots and lines of best fit.</t>
  </si>
  <si>
    <r>
      <t>P</t>
    </r>
    <r>
      <rPr>
        <sz val="10"/>
        <rFont val="Times New Roman"/>
        <family val="1"/>
      </rPr>
      <t>0606.1.3 Recognize errors generated by rounding.</t>
    </r>
  </si>
  <si>
    <r>
      <t>P</t>
    </r>
    <r>
      <rPr>
        <sz val="10"/>
        <rFont val="Times New Roman"/>
        <family val="1"/>
      </rPr>
      <t>0406.1.9 Develop a story problem that illustrates a given multiplication or division number sentence.</t>
    </r>
  </si>
  <si>
    <t>CC.4.OA.1 Interpret a multiplication equation as a comparison, e.g., interpret 35 = 5 x 7 as a statement that 35 is 5 times as many as 7 and 7 times as many as 5.  Represent verbal statements of multiplicative comparisons as multiplication equations.</t>
  </si>
  <si>
    <t>SPI 0406.1.1 Verify a conclusion using the commutative, associative, and distributive properties.</t>
  </si>
  <si>
    <t>SPI 0406.2.10 Solve contextual problems using whole numbers, fractions, and decimals.</t>
  </si>
  <si>
    <r>
      <t>P</t>
    </r>
    <r>
      <rPr>
        <sz val="10"/>
        <rFont val="Times New Roman"/>
        <family val="1"/>
      </rPr>
      <t>0406.1.1 Understand the relationship between use of answers and the accuracy of the number.</t>
    </r>
  </si>
  <si>
    <r>
      <t>P</t>
    </r>
    <r>
      <rPr>
        <sz val="10"/>
        <rFont val="Times New Roman"/>
        <family val="1"/>
      </rPr>
      <t>0406.2.13 Solve multi-step problems of various types using whole numbers, fractions, and decimals.</t>
    </r>
  </si>
  <si>
    <r>
      <t>P</t>
    </r>
    <r>
      <rPr>
        <sz val="10"/>
        <rFont val="Times New Roman"/>
        <family val="1"/>
      </rPr>
      <t>0506.1.4 Explore problems in different contexts to interpret the meaning of remainders as discrete values or not.</t>
    </r>
  </si>
  <si>
    <r>
      <t>P</t>
    </r>
    <r>
      <rPr>
        <sz val="10"/>
        <rFont val="Times New Roman"/>
        <family val="1"/>
      </rPr>
      <t>0406.1.2 Identify the range of appropriate estimates, including over-estimate and under-estimate.</t>
    </r>
  </si>
  <si>
    <t>SPI 0406.2.12 Solve problems using whole number division with one- or two-digit divisors.</t>
  </si>
  <si>
    <t>SPI 0506.1.3 Recognize the unit associated with the remainder in a division problem or the meaning of the fractional part of a whole given in either decimal or fraction form.</t>
  </si>
  <si>
    <t>SPI 0506.2.3 Select a reasonable solution to a real-world division problem in which the remainder must be considered.</t>
  </si>
  <si>
    <r>
      <t>P</t>
    </r>
    <r>
      <rPr>
        <sz val="10"/>
        <rFont val="Times New Roman"/>
        <family val="1"/>
      </rPr>
      <t>0406.2.7 Identify factors of whole numbers and model factors and products beyond basic multiplication facts using arrays and area models.</t>
    </r>
  </si>
  <si>
    <t>SPI 0406.2.4 Find factors, common factors, multiples, and common multiples of two numbers.</t>
  </si>
  <si>
    <r>
      <t>CC.8.F.3 Interpret the equation y = mx + b as defining a linear function, whose graph is a straight line; give examples of functions that are not linear. For example, the function A = s</t>
    </r>
    <r>
      <rPr>
        <vertAlign val="superscript"/>
        <sz val="10"/>
        <rFont val="Times New Roman"/>
        <family val="1"/>
      </rPr>
      <t>2</t>
    </r>
    <r>
      <rPr>
        <sz val="10"/>
        <rFont val="Times New Roman"/>
        <family val="1"/>
      </rPr>
      <t xml:space="preserve"> giving the area of a square as a function of its side length is not linear because its graph contains the points (1,1), (2,4) and (3,9), which are not on a straight line.</t>
    </r>
  </si>
  <si>
    <t xml:space="preserve">CC.8.G.1 Verify experimentally the properties of rotations, reflections, and translations:
  --  a. Lines are taken to lines, and line segments to line segments of the same length.
  --  b. Angles are taken to angles of the same measure.
  --  c. Parallel lines are taken to parallel lines. </t>
  </si>
  <si>
    <r>
      <t>P</t>
    </r>
    <r>
      <rPr>
        <sz val="10"/>
        <rFont val="Times New Roman"/>
        <family val="1"/>
      </rPr>
      <t>0806.3.3 Solve systems of linear equations in two variables and relate the systems to pairs of lines that intersect, are parallel, or are the same line.</t>
    </r>
  </si>
  <si>
    <t>SPI 0806.3.1 Find solutions to systems of two linear equations in two variables.</t>
  </si>
  <si>
    <r>
      <t>P</t>
    </r>
    <r>
      <rPr>
        <sz val="10"/>
        <rFont val="Times New Roman"/>
        <family val="1"/>
      </rPr>
      <t>0706.3.3 Identify a function.</t>
    </r>
  </si>
  <si>
    <t>SPI 0706.3.2 Determine whether relation is a function.</t>
  </si>
  <si>
    <t>SPI 0706.3.3 Identify function rule and continue the pattern.</t>
  </si>
  <si>
    <t>SPI 0806.3.4 Translate between various representations of a linear function.</t>
  </si>
  <si>
    <t>SPI 0806.3.7 Identify, compare, contrast functions as linear or nonlinear.</t>
  </si>
  <si>
    <r>
      <t>P</t>
    </r>
    <r>
      <rPr>
        <sz val="10"/>
        <rFont val="Times New Roman"/>
        <family val="1"/>
      </rPr>
      <t>0706.3.12 M=slope, b=y intercept, f(x)=mx + b.</t>
    </r>
  </si>
  <si>
    <r>
      <t>P</t>
    </r>
    <r>
      <rPr>
        <sz val="10"/>
        <rFont val="Times New Roman"/>
        <family val="1"/>
      </rPr>
      <t>0706.3.13 Given a graph, write line function in slope-intercept form: y = mx + b.</t>
    </r>
  </si>
  <si>
    <r>
      <t>P</t>
    </r>
    <r>
      <rPr>
        <sz val="10"/>
        <rFont val="Times New Roman"/>
        <family val="1"/>
      </rPr>
      <t>0806.1.2 Draw qualitative graphs (trend graphs) and describe general shape/trend.</t>
    </r>
  </si>
  <si>
    <t>SPI 0806.3.5 Determine the slope of a line from an equation, two given points, a table, or a graph.</t>
  </si>
  <si>
    <r>
      <t>P</t>
    </r>
    <r>
      <rPr>
        <sz val="10"/>
        <rFont val="Times New Roman"/>
        <family val="1"/>
      </rPr>
      <t>0806.3.6 Identify x- and y-intercepts and slope of linear equations from an equation, graph, or table.</t>
    </r>
  </si>
  <si>
    <r>
      <t>P</t>
    </r>
    <r>
      <rPr>
        <sz val="10"/>
        <rFont val="Times New Roman"/>
        <family val="1"/>
      </rPr>
      <t>0706.1.6 Develop meaning of intercept/rate of change.</t>
    </r>
  </si>
  <si>
    <r>
      <t>P</t>
    </r>
    <r>
      <rPr>
        <sz val="10"/>
        <rFont val="Times New Roman"/>
        <family val="1"/>
      </rPr>
      <t>0806.1.1 Relate nonlinear functions to geometric contexts of length, area, and volume.</t>
    </r>
  </si>
  <si>
    <r>
      <t>P</t>
    </r>
    <r>
      <rPr>
        <sz val="10"/>
        <rFont val="Times New Roman"/>
        <family val="1"/>
      </rPr>
      <t>0806.3.4 Understand the relationship between the graph of a linear inequality and its solutions.</t>
    </r>
  </si>
  <si>
    <r>
      <t>P</t>
    </r>
    <r>
      <rPr>
        <sz val="10"/>
        <rFont val="Times New Roman"/>
        <family val="1"/>
      </rPr>
      <t>0806.3.7 Analyze situations and solve problems involving constant rate of change.</t>
    </r>
  </si>
  <si>
    <t xml:space="preserve">CC.5.NBT.3a Read and write decimals to thousandths using base-ten numerals, number names, and expanded form, e.g., 347.392 = 3 × 100 + 4 × 10 + 7 × 1 + 3 × (1/10) + 9 × (1/100) + 2 × (1/1000). </t>
  </si>
  <si>
    <t>CC.5.NBT.3b Compare two decimals to thousandths based on meanings of the digits in each place, using &gt;, =, and &lt; symbols to record the results of comparisons.</t>
  </si>
  <si>
    <t>CC.5.NBT.4 Use place value understanding to round decimals to any place.</t>
  </si>
  <si>
    <r>
      <t>P</t>
    </r>
    <r>
      <rPr>
        <sz val="10"/>
        <rFont val="Times New Roman"/>
        <family val="1"/>
      </rPr>
      <t>0806.2.4 Use a Venn diagram to represent the subsets of the real number system.</t>
    </r>
  </si>
  <si>
    <r>
      <t>P</t>
    </r>
    <r>
      <rPr>
        <sz val="10"/>
        <rFont val="Times New Roman"/>
        <family val="1"/>
      </rPr>
      <t>0806.2.5 Identify subsets of the real number system to which a number belongs.</t>
    </r>
  </si>
  <si>
    <r>
      <t>P</t>
    </r>
    <r>
      <rPr>
        <sz val="10"/>
        <rFont val="Times New Roman"/>
        <family val="1"/>
      </rPr>
      <t>3102.27 Identify the subsets in the real number system and understand their relationships.</t>
    </r>
  </si>
  <si>
    <t>CC.5.NF.3 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</si>
  <si>
    <t xml:space="preserve">CC.5.NF.4 Apply and extend previous understandings of multiplication to multiply a fraction or whole number by a fraction. </t>
  </si>
  <si>
    <t>CC.4.NF.4 Apply and extend previous understandings of multiplication to multiply a fraction by a whole number. (Grade 4 expectations in this domain are limited to fractions with denominators 2, 3, 4, 5, 6, 8, 10, 12, and 100.)</t>
  </si>
  <si>
    <t xml:space="preserve">CC.4.NF.4a Understand a fraction a/b as a multiple of 1/b. For example, use a visual fraction model to represent 5/4 as the product 5 × (1/4), recording the conclusion by the equation 5/4 = 5 × (1/4). </t>
  </si>
  <si>
    <r>
      <t>CC.8.EE.2 Use square root and cube root symbols to represent solutions to equations of the form x</t>
    </r>
    <r>
      <rPr>
        <vertAlign val="superscript"/>
        <sz val="10"/>
        <rFont val="Times New Roman"/>
        <family val="1"/>
      </rPr>
      <t>2</t>
    </r>
    <r>
      <rPr>
        <sz val="10"/>
        <rFont val="Times New Roman"/>
        <family val="1"/>
      </rPr>
      <t xml:space="preserve"> = p and x</t>
    </r>
    <r>
      <rPr>
        <vertAlign val="superscript"/>
        <sz val="10"/>
        <rFont val="Times New Roman"/>
        <family val="1"/>
      </rPr>
      <t>3</t>
    </r>
    <r>
      <rPr>
        <sz val="10"/>
        <rFont val="Times New Roman"/>
        <family val="1"/>
      </rPr>
      <t xml:space="preserve"> = p, where p is a positive rational number. Evaluate square roots of small perfect squares and cube roots of small perfect cubes. Know that √2 is irrational.</t>
    </r>
  </si>
  <si>
    <r>
      <t>CC.8.EE.3 Use numbers expressed in the form of a single digit times an integer power of 10 to estimate very large or very small quantities, and to express how many times as much one is than the other. For example, estimate the population of the United States as 3 × 10</t>
    </r>
    <r>
      <rPr>
        <vertAlign val="superscript"/>
        <sz val="10"/>
        <rFont val="Times New Roman"/>
        <family val="1"/>
      </rPr>
      <t>8</t>
    </r>
    <r>
      <rPr>
        <sz val="10"/>
        <rFont val="Times New Roman"/>
        <family val="1"/>
      </rPr>
      <t xml:space="preserve"> and the population of the world as 7 × 10</t>
    </r>
    <r>
      <rPr>
        <vertAlign val="superscript"/>
        <sz val="10"/>
        <rFont val="Times New Roman"/>
        <family val="1"/>
      </rPr>
      <t>9</t>
    </r>
    <r>
      <rPr>
        <sz val="10"/>
        <rFont val="Times New Roman"/>
        <family val="1"/>
      </rPr>
      <t>, and determine that the world population is more than 20 times larger.</t>
    </r>
  </si>
  <si>
    <t xml:space="preserve">CC.5.NF.4a 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 </t>
  </si>
  <si>
    <t>CC.5.NF.4b 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t>
  </si>
  <si>
    <t>I can weigh objects.</t>
  </si>
  <si>
    <t>I can compare objects to see which is longer, taller or shorter than another object.</t>
  </si>
  <si>
    <t>I can order (line up) objects smallest to largest.</t>
  </si>
  <si>
    <t>I can name flat shapes.</t>
  </si>
  <si>
    <t>I can name solid shapes.</t>
  </si>
  <si>
    <t>I can sort and count objects in groups.</t>
  </si>
  <si>
    <t>I can name shapes around me.</t>
  </si>
  <si>
    <t>I can use words to tell the location of objects.</t>
  </si>
  <si>
    <t>I can name shapes of all sizes.</t>
  </si>
  <si>
    <t>I can count the number of sides and corners in a flat shape.</t>
  </si>
  <si>
    <t>I can count the number of sides and corners in a solid shape.</t>
  </si>
  <si>
    <t>I can build shapes.</t>
  </si>
  <si>
    <t>I can make shapes from other shapes.</t>
  </si>
  <si>
    <t>I can use information from stories to solve word problems by using addition to 20.</t>
  </si>
  <si>
    <t>I can use information from stories to solve word problems by using subtraction to 20.</t>
  </si>
  <si>
    <t>I can use information from stories to add 3 numbers.</t>
  </si>
  <si>
    <t>I can use objects to add 3 numbers.</t>
  </si>
  <si>
    <t>I can use the same numbers in addition and subtraction sentences.</t>
  </si>
  <si>
    <r>
      <t>P</t>
    </r>
    <r>
      <rPr>
        <sz val="10"/>
        <rFont val="Times New Roman"/>
        <family val="1"/>
      </rPr>
      <t>0406.5.2 Evaluate how well various representations show the collected data.</t>
    </r>
  </si>
  <si>
    <r>
      <t>P</t>
    </r>
    <r>
      <rPr>
        <sz val="10"/>
        <rFont val="Times New Roman"/>
        <family val="1"/>
      </rPr>
      <t>0406.5.3 Interpret and prepare pie charts using appropriate measurements of angles.</t>
    </r>
  </si>
  <si>
    <r>
      <t>P</t>
    </r>
    <r>
      <rPr>
        <sz val="10"/>
        <rFont val="Times New Roman"/>
        <family val="1"/>
      </rPr>
      <t>0406.5.1 Create and label appropriate scales for graphs.</t>
    </r>
  </si>
  <si>
    <t>SPI 0406.4.6 Determine situations in which a highly accurate measurement is important.</t>
  </si>
  <si>
    <t>SPI 0406.5.2 Solve problems using estimation and comparison within a single set of data.</t>
  </si>
  <si>
    <t>SPI 0406.4.4 Identify acute, obtuse, and right angles in two-dimensional shapes.</t>
  </si>
  <si>
    <r>
      <t>P</t>
    </r>
    <r>
      <rPr>
        <sz val="10"/>
        <rFont val="Times New Roman"/>
        <family val="1"/>
      </rPr>
      <t>0406.4.5 Determine if a figure is a polygon.</t>
    </r>
  </si>
  <si>
    <r>
      <t>P</t>
    </r>
    <r>
      <rPr>
        <sz val="10"/>
        <rFont val="Times New Roman"/>
        <family val="1"/>
      </rPr>
      <t>0406.4.3 Classify angles and triangles as obtuse, acute, or right.</t>
    </r>
  </si>
  <si>
    <r>
      <t>P</t>
    </r>
    <r>
      <rPr>
        <sz val="10"/>
        <rFont val="Times New Roman"/>
        <family val="1"/>
      </rPr>
      <t>0306.4.3 Classify lines and segments as parallel, perpendicular, or intersecting.</t>
    </r>
  </si>
  <si>
    <t>I can skip count forward to add.</t>
  </si>
  <si>
    <t>I can skip count backwards to subtract.</t>
  </si>
  <si>
    <t>I can add and subtract up to 20 in different ways.</t>
  </si>
  <si>
    <t>I can use the equal sign to show if number sentences are the same or not.</t>
  </si>
  <si>
    <t>I can find the missing number in an addition and subtraction problem.</t>
  </si>
  <si>
    <t>I can count to 120.</t>
  </si>
  <si>
    <t>CC.4.MD.6 Geometric measurement: Measure angles in whole-number degrees using a protractor. Sketch angles of specified measure.</t>
  </si>
  <si>
    <t>CC.5.MD.5a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t>
  </si>
  <si>
    <t xml:space="preserve">CC.5.MD.5b Apply the formulas V =(l)(w)(h) and V = (b)(h) for rectangular prisms to find volumes of right rectangular prisms with whole-number edge lengths in the context of solving real world and mathematical problems. </t>
  </si>
  <si>
    <t>CC.5.MD.5c Recognize volume as additive. Find volumes of solid figures composed of two non-overlapping right rectangular prisms by adding the volumes of the non-overlapping parts, applying this technique to solve real world problems.</t>
  </si>
  <si>
    <t xml:space="preserve">CC.5.G.2 Represent real world and mathematical problems by graphing points in the first quadrant of the coordinate plane, and interpret coordinate values of points in the context of the situation. </t>
  </si>
  <si>
    <t>CC.5.G.3 Understand that attributes belonging to a category of two-dimensional figures also belong to all subcategories of that category. For example, all rectangles have four right angles and squares are rectangles, so all squares have four right angles.</t>
  </si>
  <si>
    <t>CC.5.G.4 Classify two-dimensional figures in a hierarchy based on properties.</t>
  </si>
  <si>
    <t xml:space="preserve">5th Grade </t>
  </si>
  <si>
    <t xml:space="preserve">6th Grade </t>
  </si>
  <si>
    <r>
      <t>P</t>
    </r>
    <r>
      <rPr>
        <sz val="10"/>
        <rFont val="Times New Roman"/>
        <family val="1"/>
      </rPr>
      <t>0506.4.7 Understand, select, and use units of appropriate size and type to measure angles, lengths/distances, area, surface area, and volume.</t>
    </r>
  </si>
  <si>
    <t>CC.6.RP.2 Understand the concept of a unit rate a/b associated with a ratio a:b with b ≠ 0 (b not equal to zero),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</si>
  <si>
    <t>CC.6.RP.3 Use ratio and rate reasoning to solve real-world and mathematical problems, e.g., by reasoning about tables of equivalent ratios, tape diagrams, double number line diagrams, or equations.</t>
  </si>
  <si>
    <t>CC.6.RP.3a Make tables of equivalent ratios relating quantities with whole-number measurements, find missing values in the tables, and plot the pairs of values on the coordinate plane. Use tables to compare ratios.</t>
  </si>
  <si>
    <t>CC.6.RP.3b Solve unit rate problems including those involving unit pricing and constant speed. For example, If it took 7 hours to mow 4 lawns, then at that rate, how many lawns could be mowed in 35 hours? At what rate were lawns being mowed?</t>
  </si>
  <si>
    <t>CC.6.RP.3c Find a percent of a quantity as a rate per 100 (e.g., 30% of a quantity means 30/100 times the quantity); solve problems involving finding the whole given a part and the percent.</t>
  </si>
  <si>
    <t>CC.6.RP.3d Use ratio reasoning to convert measurement units; manipulate and transform units appropriately when multiplying or dividing quantities.</t>
  </si>
  <si>
    <t>CC.6.NS.1 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</si>
  <si>
    <t xml:space="preserve">CC.6.NS.2 Fluently divide multi-digit numbers using the standard algorithm. </t>
  </si>
  <si>
    <t>CC.6.NS.3 Fluently add, subtract, multiply, and divide multi-digit decimals using the standard algorithm for each operation.</t>
  </si>
  <si>
    <t>I can write all numbers to 120.</t>
  </si>
  <si>
    <t>I can show numbers as groups of tens and left over ones.</t>
  </si>
  <si>
    <t>I can count by tens to find out how many objects there are.</t>
  </si>
  <si>
    <t>I can use the terms less than and greater than to compare two numbers.</t>
  </si>
  <si>
    <t>I can use symbols to show greater than, less than, and equal to.</t>
  </si>
  <si>
    <t>I can count by tens and ones to write and count a two - digit number.</t>
  </si>
  <si>
    <t>CC.6.EE.4 Identify when two expressions are equivalent (i.e., when the two expressions name the same number regardless of which value is substituted into them). For example, the expressions y + y + y and 3y are equivalent because they name the same number regardless of which number y stands for.</t>
  </si>
  <si>
    <t xml:space="preserve">CC.5.NF.7c Solve real-world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 </t>
  </si>
  <si>
    <t>CC.5.MD.1 Convert among different-sized standard measurement units within a given measurement system (e.g., convert 5 cm to 0.05 m), and use these conversions in solving multi-step real world problems.</t>
  </si>
  <si>
    <t>CC.5.MD.2 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</si>
  <si>
    <t>CC.5.MD.4 Geometric measurement: Measure volumes by counting unit cubes, using cubic cm, cubic in, cubic ft, and improvised units.</t>
  </si>
  <si>
    <t xml:space="preserve">CC.5.MD.5 Geometric measurement: Relate volume to the operations of multiplication and addition and solve real world and mathematical problems involving volume._x000D_
</t>
  </si>
  <si>
    <t>I can add a two-digit number by adding the ones and then adding the tens.</t>
  </si>
  <si>
    <t>I can regroup 10 ones as 1 ten.</t>
  </si>
  <si>
    <t>I can count 10 more, or 10 less, than a number by changing the number in the ten's place.</t>
  </si>
  <si>
    <t>I can use a 100’s chart to count ten more or ten less.</t>
  </si>
  <si>
    <t>I can use objects to show the tens and ones in a two - digit number, and then write the number.</t>
  </si>
  <si>
    <t>I can find the longest and shortest object in a group.</t>
  </si>
  <si>
    <t>I can use tiles put side by side to measure the length of an object.</t>
  </si>
  <si>
    <t>I can put objects in a certain order by comparing their lengths.</t>
  </si>
  <si>
    <t>I can tell time to the hour using two different clocks.</t>
  </si>
  <si>
    <t>I can tell time to the half-hour using two different clocks.</t>
  </si>
  <si>
    <t>I can answer questions about real objects by looking at a graph.</t>
  </si>
  <si>
    <t>I can compare real objects by looking at a graph. (more or less)</t>
  </si>
  <si>
    <t>I can collect data to create many charts.</t>
  </si>
  <si>
    <t>I can draw shapes.</t>
  </si>
  <si>
    <t>I can tell how shapes are alike and different.</t>
  </si>
  <si>
    <t>I can identify and describe shapes.</t>
  </si>
  <si>
    <t>I can put shapes together to make new shapes.</t>
  </si>
  <si>
    <t>I can break apart shapes to make new shapes.</t>
  </si>
  <si>
    <t>I can divide shapes into parts, and then describe those parts.</t>
  </si>
  <si>
    <t>I can use words such as two out of three to describe those parts.</t>
  </si>
  <si>
    <t xml:space="preserve">I can divide shapes into equal parts that are the same size.
</t>
  </si>
  <si>
    <t xml:space="preserve">I can quickly solve basic addition math facts from memory.  </t>
  </si>
  <si>
    <t>I can quickly solve basic subtraction math facts from memory</t>
  </si>
  <si>
    <t xml:space="preserve">I can solve addition problems by using drawings and number sentences.
</t>
  </si>
  <si>
    <t>I can solve subtraction problems by using drawings and number sentences.</t>
  </si>
  <si>
    <t>I can tell if a number or a group of things has an odd or even number.</t>
  </si>
  <si>
    <t>I can write a number sentence to show that adding two even numbers or adding two odd numbers equals and even number.</t>
  </si>
  <si>
    <t>I can create an array.</t>
  </si>
  <si>
    <t>I can use addition to find the total number of things in the array.</t>
  </si>
  <si>
    <t>I can write a number sentence to represent the total as a sum of equal addends.</t>
  </si>
  <si>
    <t xml:space="preserve">I can explain the value of ones, tens, and hundreds in a three-digit number. </t>
  </si>
  <si>
    <t>2.NBT.1a  I can put groups of tens together to equal 100.</t>
  </si>
  <si>
    <t>I can skip count by 5’s within a 1000.</t>
  </si>
  <si>
    <t>I can skip count by 10’s within a 1000.</t>
  </si>
  <si>
    <t>I can skip count by 100’s within a 1000.</t>
  </si>
  <si>
    <t>I can recognize and name numbers within 1000.</t>
  </si>
  <si>
    <t>I can read numbers within 1000.</t>
  </si>
  <si>
    <t>I can write numbers within 1000 in expanded form.</t>
  </si>
  <si>
    <t>I can write number names within 1000.</t>
  </si>
  <si>
    <t>I can compare three-digit numbers using &lt;, &gt;, or =.</t>
  </si>
  <si>
    <t>I can quickly add within 100.</t>
  </si>
  <si>
    <t xml:space="preserve">I can quickly subtract within 100. </t>
  </si>
  <si>
    <t>I can demonstrate the relationship between addition and subtraction.</t>
  </si>
  <si>
    <t>I can add up to 4 two-digit numbers.</t>
  </si>
  <si>
    <t>I can add within 1000 using a variety of strategies.</t>
  </si>
  <si>
    <t>I can subtract within 1000 using a variety of strategies.</t>
  </si>
  <si>
    <t>I can compose tens and ones to add three-digit numbers.</t>
  </si>
  <si>
    <t>I can decompose tens and hundreds to subtract three-digit numbers.</t>
  </si>
  <si>
    <t>I can mentally add 10 or 100 to a given number 100-900.</t>
  </si>
  <si>
    <t>I can mentally subtract 10 or 100 to a given number 100-900.</t>
  </si>
  <si>
    <t>I can explain why addition and subtraction strategies work.</t>
  </si>
  <si>
    <t>I can measure length using rulers, yardsticks, meter sticks, and measuring tapes.</t>
  </si>
  <si>
    <t>I can measure an object twice using units that vary in size.</t>
  </si>
  <si>
    <t xml:space="preserve">I can describe how the measurement relates to the unit chosen. </t>
  </si>
  <si>
    <t>I can estimate lengths using inches, feet, centimeters, and meters.</t>
  </si>
  <si>
    <t xml:space="preserve">I can measure to determine how much longer on object is than the other. </t>
  </si>
  <si>
    <t>I can solve addition word problems within 100 involving lengths in the same units.</t>
  </si>
  <si>
    <t xml:space="preserve">I can solve subtraction word problems within 100 involving lengths in the same units.  </t>
  </si>
  <si>
    <t>I can use drawings and equations to represent measurement word problems.</t>
  </si>
  <si>
    <t>I can create a number line to 100 with equally space points.</t>
  </si>
  <si>
    <t>I can use a number line to add and subtract within 100.</t>
  </si>
  <si>
    <t>I can tell and write time to the nearest five minutes on an analog clock.</t>
  </si>
  <si>
    <t>I can tell and write time to the nearest five minutes on a digital clock.</t>
  </si>
  <si>
    <t>I can label times as a.m. or p.m.</t>
  </si>
  <si>
    <t>I can determine the value of a group of coins.</t>
  </si>
  <si>
    <t>I can solve word problems involving money.</t>
  </si>
  <si>
    <t>I can use the $ and ¢ correctly.</t>
  </si>
  <si>
    <t>I can measure objects using whole numbers</t>
  </si>
  <si>
    <t xml:space="preserve">I can plot measurements on a line plot. </t>
  </si>
  <si>
    <t xml:space="preserve">I can compare lengths of objects by using a line plot. </t>
  </si>
  <si>
    <t>I can draw a picture graph with up to four categories.</t>
  </si>
  <si>
    <t>I can draw a bar graph with up to four categories.</t>
  </si>
  <si>
    <t>I can solve problems using information from a graph.</t>
  </si>
  <si>
    <t>I can recognize and draw shapes.</t>
  </si>
  <si>
    <t>I can identify triangles, quadrilateral, pentagons, hexagons, and cubes.</t>
  </si>
  <si>
    <t xml:space="preserve">I can create a rectangle using squares then, count the number of squares. </t>
  </si>
  <si>
    <t xml:space="preserve">I can divide a circle and rectangle into two, three, or four equal parts. </t>
  </si>
  <si>
    <t xml:space="preserve">I can describe parts as two halves, three thirds, half of, a third of, etc. </t>
  </si>
  <si>
    <t xml:space="preserve">I can recognize that equal parts of identical shapes do not have to have the same shape. </t>
  </si>
  <si>
    <t>Topic 3-1, 3-2, 3-3, 3-7,  Topic 4-1, 4-2, 4-3, 4-5, 4-6,  Topic 6-1</t>
  </si>
  <si>
    <t>Topic 16-7</t>
  </si>
  <si>
    <t>Topic 3-6, Topic 16-7,  TN3 Page T142,  TN Practice Page T155</t>
  </si>
  <si>
    <t>Topic 10-8, 10-9,  TN10 Page T149</t>
  </si>
  <si>
    <t>Topic 4-7, Topic 5-3, 5-5, Topic 6-1, 6-2, 6-3, 6-4, 6-5, 6-6   Topic 7-1,7-2, 7-3, 7-4, 7-5, Topic 10-4, 10-5, Topic 11-6,  TN2 Page T141,  TN8 Page T147</t>
  </si>
  <si>
    <t>Topic 1-1, 1-2, 1-3,  Topic 10-1, 10-2, 10-3, 10-4,  Topic 12-2,  TN9 Pge T148</t>
  </si>
  <si>
    <t>Topic 11-2, 11-3,  11-4, 11-5</t>
  </si>
  <si>
    <t>a. 10 can be thought of as a bundle of ten ones — called a “ten.”</t>
  </si>
  <si>
    <t>b. The numbers from 11 to 19 are composed of a ten and one, two, three, four, five, six, seven, eight, or nine ones</t>
  </si>
  <si>
    <t>c. The numbers 10, 20, 30, 40, 50, 60, 70, 80, 90 refer to one, two, three, four, five, six, seven, eight, or nine tens (and 0 ones).</t>
  </si>
  <si>
    <t xml:space="preserve">Topic 2-1, 2-2. 2-4,  Topic 12-1, 12-3, 12-4, </t>
  </si>
  <si>
    <t>Topic 11-1, 11-3,   Topic 16-4, Topic 20-2, 20-3, 20-4, 20-5, 20-6, 20-7</t>
  </si>
  <si>
    <t xml:space="preserve">Topic 14-1, TN Practice Page T154, </t>
  </si>
  <si>
    <t>Topic 14-2, 14-3, 14-4, TN Practice Page T154</t>
  </si>
  <si>
    <t>TN 5 Page T144</t>
  </si>
  <si>
    <t>Topic 8-1, 8-9,  TN 4 Page T143,  TN 6 Page T145</t>
  </si>
  <si>
    <t>Topic 8-3, 8-4,  Topic 19-1, 19-2, 19-3,  TN 7 Page T146</t>
  </si>
  <si>
    <t>CC.8.EE.8 Analyze and solve pairs of simultaneous linear equations.</t>
  </si>
  <si>
    <t>CC.8.EE.8a Understand that solutions to a system of two linear equations in two variables correspond to points of intersection of their graphs, because points of intersection satisfy both equations simultaneously.</t>
  </si>
  <si>
    <t>CC.8.EE.8b Solve systems of two linear equations in two variables algebraically, and estimate solutions by graphing the equations. Solve simple cases by inspection. For example, 3x + 2y = 5 and 3x + 2y = 6 have no solution because 3x + 2y cannot simultaneously be 5 and 6.</t>
  </si>
  <si>
    <t>CC.8.EE.8c Solve real-world and mathematical problems leading to two linear equations in two variables. For example, given coordinates for two pairs of points, determine whether the line through the first pair of points intersects the line through the second pair.</t>
  </si>
  <si>
    <t>CC.8.F.1 Understand that a function is a rule that assigns to each input exactly one output. The graph of a function is the set of ordered pairs consisting of an input and the corresponding output.  (Function notation is not required in Grade 8.)</t>
  </si>
  <si>
    <t xml:space="preserve">CC.8.F.2 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 </t>
  </si>
  <si>
    <t>CC.8.F.4 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</si>
  <si>
    <t>CC.8.F.5 Describe qualitatively the functional relationship between two quantities by analyzing a graph (e.g., where the function is increasing or decreasing, linear or nonlinear). Sketch a graph that exhibits the qualitative features of a function that has been described verbally.</t>
  </si>
  <si>
    <t>CC.8.G.2 Understand that a two-dimensional figure is congruent to another if the second can be obtained from the first by a sequence of rotations, reflections, and translations; given two congruent figures, describe a sequence that exhibits the congruence between them.</t>
  </si>
  <si>
    <t>CC.8.G.3 Describe the effect of dilations, translations, rotations and reflections on two-dimensional figures using coordinates.</t>
  </si>
  <si>
    <t>CC.8.G.4 Understand that a two-dimensional figure is similar to another if the second can be obtained from the first by a sequence of rotations, reflections, translations, and dilations; given two similar two-dimensional figures, describe a sequence that exhibits the similarity between them.</t>
  </si>
  <si>
    <t>CC.8.G.5 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three angles appear to form a line, and give an argument in terms of transversals why this is so.</t>
  </si>
  <si>
    <t xml:space="preserve">CC.8.G.6 Explain a proof of the Pythagorean Theorem and its converse.  </t>
  </si>
  <si>
    <t>CC.8.G.7 Apply the Pythagorean Theorem to determine unknown side lengths in right triangles in real-world and mathematical problems in two and three dimensions.</t>
  </si>
  <si>
    <t>CC.8.G.8 Apply the Pythagorean Theorem to find the distance between two points in a coordinate system.</t>
  </si>
  <si>
    <t>CC.8.G.9 Know the formulas for the volume of cones, cylinders, and spheres and use them to solve real-world and mathematical problems.</t>
  </si>
  <si>
    <t>CC.8.SP.1 Construct and interpret scatter plots for bivariate measurement data to investigate patterns of association between two quantities. Describe patterns such as clustering, outliers, positive or negative association, linear association, and nonlinear association.</t>
  </si>
  <si>
    <t>CC.8.SP.2 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</si>
  <si>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t>CC.8.SP.3 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t>
  </si>
  <si>
    <t>CC.8.SP.4 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</si>
  <si>
    <t>F</t>
  </si>
  <si>
    <t xml:space="preserve">CC.K.CC.1 Count to 100 by ones and by tens. </t>
  </si>
  <si>
    <t>CC.K.CC.3   Write numbers from 0 to 20. Represent a number of objects with a written numeral 0-20 (with 0 representing a count of no objects).</t>
  </si>
  <si>
    <t xml:space="preserve">CC.K.CC.4  Understand the relationship between numbers and quantities; connect counting to cardinality. </t>
  </si>
  <si>
    <t>CC.K.CC.4a When counting objects, say the number names in the standard order, pairing each object with one and only one number name and each number name with one and only one object.</t>
  </si>
  <si>
    <t>CC.K.CC.4b Understand that the last number name said tells the number of objects counted. The number of objects is the same regardless of their arrangement or the order in which they were counted.</t>
  </si>
  <si>
    <t xml:space="preserve">CC.K.CC.4c Understand that each successive number name refers to a quantity that is one larger. </t>
  </si>
  <si>
    <t>CC.K.CC.5 Count to answer “how many?” questions about as many as 20 things arranged in a line, a rectangular array, or a circle, or as many as 10 things in a scattered configuration; given a number from 1-20, count out that many objects.</t>
  </si>
  <si>
    <t>CC.K.CC.6  Identify whether the number of objects in one group is greater than, less than, or equal to the number of objects in another group, e.g., by using matching and counting strategies.  (Include groups with up to ten objects.)</t>
  </si>
  <si>
    <t>CC.K.CC.7 Compare two numbers between 1 and 10 presented as written numerals.</t>
  </si>
  <si>
    <t xml:space="preserve">CC.K.OA.1 Represent addition and subtraction with objects, fingers, mental images, drawings (drawings need not show details, but should show the mathematics in the problem),  sounds (e.g., claps), acting out situations, verbal explanations, expressions, or equations. </t>
  </si>
  <si>
    <t>CC.K.OA.2  Solve addition and subtraction word problems, and add and subtract within 10, e.g., by using objects or drawings to represent the problem.</t>
  </si>
  <si>
    <t xml:space="preserve">CC.K.OA.3 Decompose numbers less than or equal to 10 into pairs in more than one way, e.g., by using objects or drawings, and record each decomposition by a drawing or equation (e.g., 5 = 2 + 3 and 5 = 4 + 1). </t>
  </si>
  <si>
    <t>CC.K.OA.4  For any number from 1 to 9, find the number that makes 10 when added to the given number, e.g., by using objects or drawings, and record the answer with a drawing or equation.</t>
  </si>
  <si>
    <t>CC.K.OA.5 Fluently add and subtract within 5.</t>
  </si>
  <si>
    <t xml:space="preserve">CC.K.NBT.1 Compose and decompose numbers from 11 to 19 into ten ones and some further ones, e.g., by using objects or drawings, and record each composition or decomposition by a drawing or equation (such as 18 = 10 + 8); understand that these numbers are composed of ten ones and one, two, three, four, five, six, seven, eight, or nine ones. </t>
  </si>
  <si>
    <t>CC.K.MD.1 Describe measurable attributes of objects, such as length or weight. Describe several measurable attributes of a single object.</t>
  </si>
  <si>
    <t>CC.K.MD.2 Directly compare two objects with a measurable attribute in common, to see which object has “more of”/“less of” the attribute, and describe the difference. For example, directly compare the heights of two children and describe one child as taller/shorter.</t>
  </si>
  <si>
    <t>CC.K.MD.3 Classify objects into given categories; count the numbers of objects in each category and sort the categories by count. (Limit category counts to be less than or equal to 10.)</t>
  </si>
  <si>
    <t>CC.K.G.1 Describe objects in the environment using names of shapes, and describe the relative positions of these objects using terms such as above, below, beside, in front of, behind, and next to.</t>
  </si>
  <si>
    <t>CC.K.G.2  Correctly name shapes regardless of their orientations or overall size.</t>
  </si>
  <si>
    <t>CC.K.G.3 Identify shapes as two-dimensional (lying in a plane, “flat”) or three-dimensional (“solid”).</t>
  </si>
  <si>
    <t>CC.K.G.4 Analyze and compare two- and three-dimensional shapes, in different sizes and orientations, using informal language to describe their similarities, differences, parts (e.g., number of sides and vertices/“corners”) and other attributes (e.g., having sides of equal length).</t>
  </si>
  <si>
    <t>CC.K.G.5 Model shapes in the world by building shapes from components (e.g., sticks and clay balls) and drawing shapes.</t>
  </si>
  <si>
    <t>CC.K.G.6 Compose simple shapes to form larger shapes. For example, "can you join these two triangles with full sides touching to make a rectangle?”</t>
  </si>
  <si>
    <t>CC</t>
  </si>
  <si>
    <t>Kindergarten</t>
  </si>
  <si>
    <t>1st Grade</t>
  </si>
  <si>
    <t xml:space="preserve">CC.1.OA.1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t>
  </si>
  <si>
    <t>CC.1.OA.2 Solve word problems that call for addition of three whole numbers whose sum is less than or equal to 20, e.g., by using objects, drawings, and equations with a symbol for the unknown number to represent the problem.</t>
  </si>
  <si>
    <r>
      <t>P</t>
    </r>
    <r>
      <rPr>
        <sz val="10"/>
        <rFont val="Times New Roman"/>
        <family val="1"/>
      </rPr>
      <t>0706.3.1 Basic operations on linear expressions.</t>
    </r>
  </si>
  <si>
    <t>SPI 0706.3.1 Evaluate algebraic expressions involving rational values for coefficients and/or variables.</t>
  </si>
  <si>
    <r>
      <t>P</t>
    </r>
    <r>
      <rPr>
        <sz val="10"/>
        <rFont val="Times New Roman"/>
        <family val="1"/>
      </rPr>
      <t>0806.3.1 Perform basic operations on algebraic expressions including grouping, order of operations, exponents, square/cube roots, simplifying, expanding.</t>
    </r>
  </si>
  <si>
    <r>
      <t>P</t>
    </r>
    <r>
      <rPr>
        <sz val="10"/>
        <rFont val="Times New Roman"/>
        <family val="1"/>
      </rPr>
      <t>3102.3.3 Justify correct results of algebraic procedures using extension of properties of real numbers to algebraic expressions.</t>
    </r>
  </si>
  <si>
    <r>
      <t>P</t>
    </r>
    <r>
      <rPr>
        <sz val="10"/>
        <rFont val="Times New Roman"/>
        <family val="1"/>
      </rPr>
      <t>0706.2.7 Write number sentences to solve contextual problems with ratio and percent.</t>
    </r>
  </si>
  <si>
    <r>
      <t>P</t>
    </r>
    <r>
      <rPr>
        <sz val="10"/>
        <rFont val="Times New Roman"/>
        <family val="1"/>
      </rPr>
      <t>0706.1.2 Recognize round-off error and inaccuracies it introduces.</t>
    </r>
  </si>
  <si>
    <t>SPI 0606.1.2 Judge reasonableness of estimates/computations.</t>
  </si>
  <si>
    <r>
      <t>P</t>
    </r>
    <r>
      <rPr>
        <sz val="10"/>
        <rFont val="Times New Roman"/>
        <family val="1"/>
      </rPr>
      <t>0606.3.1 Write and solve two-step linear equations (non-negatives).</t>
    </r>
  </si>
  <si>
    <t>SPI 0606.3.6 Solve two-step linear equations.</t>
  </si>
  <si>
    <t>SPI 0706.3.6 Solve linear equations with rational coefficients.</t>
  </si>
  <si>
    <t>SPI 0706.3.7 Translate verbal/symbolic to real-world involving linear equations.</t>
  </si>
  <si>
    <t>SPI 0706.3.8 Solve contextual problems in two-step equations.</t>
  </si>
  <si>
    <t>SPI 0706.3.9 Solve linear inequalities with rational coefficients.</t>
  </si>
  <si>
    <r>
      <t>P</t>
    </r>
    <r>
      <rPr>
        <sz val="10"/>
        <rFont val="Times New Roman"/>
        <family val="1"/>
      </rPr>
      <t>0706.3.14 Solving linear inequalities, multiplying or dividing by negative reverses the inequality symbol.</t>
    </r>
  </si>
  <si>
    <t>SPI 0706.1.4 Use scales to read maps.</t>
  </si>
  <si>
    <r>
      <t>P</t>
    </r>
    <r>
      <rPr>
        <sz val="10"/>
        <rFont val="Times New Roman"/>
        <family val="1"/>
      </rPr>
      <t>0706.1.7 Scales in maps/drawings show relative size and distance.</t>
    </r>
  </si>
  <si>
    <r>
      <t>P</t>
    </r>
    <r>
      <rPr>
        <sz val="10"/>
        <rFont val="Times New Roman"/>
        <family val="1"/>
      </rPr>
      <t>0706.1.8 Recognize applications of scale factor by exploration.</t>
    </r>
  </si>
  <si>
    <t xml:space="preserve">CC.2.OA.1 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</si>
  <si>
    <t xml:space="preserve">CC.2.OA.2 Fluently add and subtract within 20 using mental strategies. By end of Grade 2, know from memory all sums of two one-digit numbers. </t>
  </si>
  <si>
    <t>CC.2.OA.3 Determine whether a group of objects (up to 20) has an odd or even number of members, e.g., by pairing objects or counting them by 2s; write an equation to express an even number as a sum of two equal addends.</t>
  </si>
  <si>
    <t>CC.2.OA.4 Use addition to find the total number of objects arranged in rectangular arrays with up to 5 rows and up to 5 columns; write an equation to express the total as a sum of equal addends.</t>
  </si>
  <si>
    <t>CC.2.NBT.1 Understand that the three digits of a three-digit number represent amounts of hundreds, tens, and ones; e.g., 706 equals 7 hundreds, 0 tens, and 6 ones. Understand the following as special cases:_x000D_
  --  a. 100 can be thought of as a bundle of ten tens — called a “hundred.”_x000D_
  --  b. The numbers 100, 200, 300, 400, 500, 600, 700, 800, 900 refer to one, two, three, four, five, six, seven, eight, or nine hundreds (and 0 tens and 0 ones).</t>
  </si>
  <si>
    <t>CC.2.NBT.2 Count within 1000; skip-count by 5s, 10s, and 100s.</t>
  </si>
  <si>
    <t>CC.2.NBT.3 Read and write numbers to 1000 using base-ten numerals, number names, and expanded form.</t>
  </si>
  <si>
    <t>CC.2.NBT.4 Compare two three-digit numbers based on meanings of the hundreds, tens, and ones digits, using &gt;, =, and &lt; symbols to record the results of comparisons.</t>
  </si>
  <si>
    <t xml:space="preserve">CC.2.NBT.5 Fluently add and subtract within 100 using strategies based on place value, properties of operations, and/or the relationship between addition and subtraction. </t>
  </si>
  <si>
    <t>CC.2.NBT.6 Add up to four two-digit numbers using strategies based on place value and properties of operations.</t>
  </si>
  <si>
    <t xml:space="preserve">CC.5.G.1 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
</t>
  </si>
  <si>
    <r>
      <t>P</t>
    </r>
    <r>
      <rPr>
        <sz val="10"/>
        <rFont val="Times New Roman"/>
        <family val="1"/>
      </rPr>
      <t>0106.2.2 Write numbers up to 10 in words.</t>
    </r>
  </si>
  <si>
    <r>
      <t>P</t>
    </r>
    <r>
      <rPr>
        <sz val="10"/>
        <rFont val="Times New Roman"/>
        <family val="1"/>
      </rPr>
      <t>0006.2.15 Understand subtraction as "break apart" or "take away" and solve subtraction problems using numbers 1 through 10.</t>
    </r>
  </si>
  <si>
    <r>
      <t>P</t>
    </r>
    <r>
      <rPr>
        <sz val="10"/>
        <rFont val="Times New Roman"/>
        <family val="1"/>
      </rPr>
      <t>0006.1.1 Model addition and subtraction (e.g., using a number chart, number line, and/or concrete objects).</t>
    </r>
  </si>
  <si>
    <r>
      <t>P</t>
    </r>
    <r>
      <rPr>
        <sz val="10"/>
        <rFont val="Times New Roman"/>
        <family val="1"/>
      </rPr>
      <t>0006.2.16 Model, demonstrate, and solve story problems that illustrate addition and subtraction.</t>
    </r>
  </si>
  <si>
    <r>
      <t>P</t>
    </r>
    <r>
      <rPr>
        <sz val="10"/>
        <rFont val="Times New Roman"/>
        <family val="1"/>
      </rPr>
      <t>0006.2.13 Add and subtract single-digit numbers whose total or difference is between 0 and 10.</t>
    </r>
  </si>
  <si>
    <r>
      <t>P</t>
    </r>
    <r>
      <rPr>
        <sz val="10"/>
        <rFont val="Times New Roman"/>
        <family val="1"/>
      </rPr>
      <t>0006.2.17 Understand that numbers can be represented by different groupings.</t>
    </r>
  </si>
  <si>
    <r>
      <t>P</t>
    </r>
    <r>
      <rPr>
        <sz val="10"/>
        <rFont val="Times New Roman"/>
        <family val="1"/>
      </rPr>
      <t>0006.2.10 Recognize 6 through 10 as "five and some ones."</t>
    </r>
  </si>
  <si>
    <r>
      <t>P</t>
    </r>
    <r>
      <rPr>
        <sz val="10"/>
        <rFont val="Times New Roman"/>
        <family val="1"/>
      </rPr>
      <t>0006.4.7 Make direct and indirect comparisons between objects (such as recognize which is shorter, longer, taller, lighter, heavier, or holds more).</t>
    </r>
  </si>
  <si>
    <r>
      <t>P</t>
    </r>
    <r>
      <rPr>
        <sz val="10"/>
        <rFont val="Times New Roman"/>
        <family val="1"/>
      </rPr>
      <t>0006.3.5 Describe change in attributes according to qualitative criteria such as longer/shorter, colder/warmer, heavier/lighter.</t>
    </r>
  </si>
  <si>
    <r>
      <t>P</t>
    </r>
    <r>
      <rPr>
        <sz val="10"/>
        <rFont val="Times New Roman"/>
        <family val="1"/>
      </rPr>
      <t>0006.5.2 Sort objects in different ways.</t>
    </r>
  </si>
  <si>
    <r>
      <t>P</t>
    </r>
    <r>
      <rPr>
        <sz val="10"/>
        <rFont val="Times New Roman"/>
        <family val="1"/>
      </rPr>
      <t>0006.5.3 Collect and count data.</t>
    </r>
  </si>
  <si>
    <r>
      <t>P</t>
    </r>
    <r>
      <rPr>
        <sz val="10"/>
        <rFont val="Times New Roman"/>
        <family val="1"/>
      </rPr>
      <t>0006.3.4 Sort, order, and classify objects by attribute and identify objects that do not belong in a particular group.</t>
    </r>
  </si>
  <si>
    <r>
      <t>P</t>
    </r>
    <r>
      <rPr>
        <sz val="10"/>
        <rFont val="Times New Roman"/>
        <family val="1"/>
      </rPr>
      <t>0006.5.1 Sort objects into sets and describe how the objects were sorted.</t>
    </r>
  </si>
  <si>
    <t>CC.4.NF.2 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 (Grade 4 expectations in this domain are limited to fractions with denominators 2, 3, 4, 5, 6, 8, 10, 12, and 100.)</t>
  </si>
  <si>
    <t>CC.4.NF.3 Understand a fraction a/b with a &gt; 1 as a sum of fractions 1/b. (Grade 4 expectations in this domain are limited to fractions with denominators 2, 3, 4, 5, 6, 8, 10, 12, and 100.)</t>
  </si>
  <si>
    <t>CC.4.NF.3a Understand addition and subtraction of fractions as joining and separating parts referring to the same whole.</t>
  </si>
  <si>
    <t>CC.4.NF.3b Decompose a fraction into a sum of fractions with the same denominator in more than one way, recording each decomposition by an equation. Justify decompositions, e.g., by using a visual fraction model. Examples: 3/8 = 1/8 + 1/8 + 1/8 ; 3/8 = 1/8 + 2/8 ; 2 1/8 = 1 + 1 + 1/8 = 8/8 + 8/8 + 1/8.</t>
  </si>
  <si>
    <t>CC.4.NF.3c Add and subtract mixed numbers with like denominators, e.g., by replacing each mixed number with an equivalent fraction, and/or by using properties of operations and the relationship between addition and subtraction.</t>
  </si>
  <si>
    <t xml:space="preserve">CC.4.NF.3d Solve word problems involving addition and subtraction of fractions referring to the same whole and having like denominators, e.g., by using visual fraction models and equations to represent the problem. </t>
  </si>
  <si>
    <t>CC.2.G.1 Recognize and draw shapes having specified attributes, such as a given number of angles or a given number of equal faces.  Identify triangles, quadrilaterals, pentagons, hexagons, and cubes. (Sizes are compared directly or visually, not compared by measuring.)</t>
  </si>
  <si>
    <t xml:space="preserve">CC.2.G.2 Partition a rectangle into rows and columns of same-size squares and count to find the total number of them. </t>
  </si>
  <si>
    <t>CC.3.MD.2 Solve problems involving measurement and estimation of intervals of time, liquid volumes, and masses of objects.  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</si>
  <si>
    <r>
      <t>P</t>
    </r>
    <r>
      <rPr>
        <sz val="10"/>
        <rFont val="Times New Roman"/>
        <family val="1"/>
      </rPr>
      <t>0606.4.1 Investigate sum of angles in a triangle and quadrilateral.</t>
    </r>
  </si>
  <si>
    <r>
      <t>P</t>
    </r>
    <r>
      <rPr>
        <sz val="10"/>
        <rFont val="Times New Roman"/>
        <family val="1"/>
      </rPr>
      <t>0606.4.2 Relate sums of angles in triangles to polygons.</t>
    </r>
  </si>
  <si>
    <r>
      <t>P</t>
    </r>
    <r>
      <rPr>
        <sz val="10"/>
        <rFont val="Times New Roman"/>
        <family val="1"/>
      </rPr>
      <t>0606.4.3 Verify properties of triangles to quadrilaterals using protractor and ruler.</t>
    </r>
  </si>
  <si>
    <r>
      <t>P</t>
    </r>
    <r>
      <rPr>
        <sz val="10"/>
        <rFont val="Times New Roman"/>
        <family val="1"/>
      </rPr>
      <t>0606.4.5 Model and use the Triangle Inequality Theorem.</t>
    </r>
  </si>
  <si>
    <r>
      <t>P</t>
    </r>
    <r>
      <rPr>
        <sz val="10"/>
        <rFont val="Times New Roman"/>
        <family val="1"/>
      </rPr>
      <t>0806.4.7 Visualize or describe the cross-section resulting from the intersection of a plane with a three-dimensional figure.</t>
    </r>
  </si>
  <si>
    <t>SPI 0806.4.5 Identify intersection of two or more geometric figures in the plane.</t>
  </si>
  <si>
    <t>CC.3.MD.3 Represent and interpret data. 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</si>
  <si>
    <t>CC.3.MD.4 Represent and interpret data. Generate measurement data by measuring lengths using rulers marked with halves and fourths of an inch. Show the data by making a line plot, where the horizontal scale is marked off in appropriate units—whole numbers, halves, or quarters.</t>
  </si>
  <si>
    <t xml:space="preserve">CC.3.MD.5 Geometric measurement: understand concepts of area and relate area to multiplication and to addition. Recognize area as an attribute of plane figures and understand concepts of area measurement.
  --  a. A square with side length 1 unit, called “a unit square,” is said to have “one square unit” of area, and can be used to measure area.
  --  b. A plane figure which can be covered without gaps or overlaps by n unit squares is said to have an area of n square units. </t>
  </si>
  <si>
    <t xml:space="preserve">CC.3.MD.6 Geometric measurement: understand concepts of area and relate area to multiplication and to addition. Measure areas by counting unit squares (square cm, square m, square in, square ft, and improvised units). </t>
  </si>
  <si>
    <t>CC.3.MD.7 Geometric measurement: understand concepts of area and relate area to multiplication and to addition. Relate area to the operations of multiplication and addition.</t>
  </si>
  <si>
    <t>CC.3.MD.7a Find the area of a rectangle with whole-number side lengths by tiling it, and show that the area is the same as would be found by multiplying the side lengths.</t>
  </si>
  <si>
    <t xml:space="preserve">CC.3.MD.7b Multiply side lengths to find areas of rectangles with whole-number side lengths in the context of solving real world and mathematical problems, and represent whole-number products as rectangular areas in mathematical reasoning. </t>
  </si>
  <si>
    <r>
      <t>P</t>
    </r>
    <r>
      <rPr>
        <sz val="10"/>
        <rFont val="Times New Roman"/>
        <family val="1"/>
      </rPr>
      <t>0106.2.9 Add three single-digit numbers.</t>
    </r>
  </si>
  <si>
    <t xml:space="preserve">CC.3.MD.7c Use tiling to show in a concrete case that the area of a rectangle with whole-number side lengths a and b + c is the sum of a × b and a × c. Use area models to represent the distributive property in mathematical reasoning. </t>
  </si>
  <si>
    <t xml:space="preserve">CC.3.MD.7d Recognize area as additive. Find areas of rectilinear figures by decomposing them into non-overlapping rectangles and adding the areas of the non-overlapping parts, applying this technique to solve real world problems.    </t>
  </si>
  <si>
    <t>CC.3.MD.8 Geometric measurement: recognize perimeter as an attribute of plane figures and distinguish between linear and area measures. Solve real world and mathematical problems involving perimeters of polygons, including finding the perimeter given the side lengths, finding an unknown side length, and exhibiting rectangles with the same perimeter and different area or with the same area and different perimeter.</t>
  </si>
  <si>
    <t>CC.3.G.1 Reason with shapes and their attributes. 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</si>
  <si>
    <t>CC.3.G.2 Reason with shapes and their attributes. Partition shapes into parts with equal areas. Express the area of each part as a unit fraction of the whole. For example, partition a shape into 4 parts with equal area, and describe the area of each part is 1/4 of the area of the shape.</t>
  </si>
  <si>
    <t>Match</t>
  </si>
  <si>
    <t xml:space="preserve">CC.4.OA.2 Multiply or divide to solve word problems involving multiplicative comparison, e.g., by using drawings and equations with a symbol for the unknown number to represent the problem, distinguishing multiplicative comparison from additive comparison. </t>
  </si>
  <si>
    <t>CC.4.OA.3 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</si>
  <si>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CC.4.OA.4 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</si>
  <si>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t xml:space="preserve">CC.4.OA.5 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 </t>
  </si>
  <si>
    <t>CC.4.NBT.1 Recognize that in a multi-digit whole number, a digit in one place represents ten times what it represents in the place to its right. For example, recognize that 700 ÷ 70 = 10 by applying concepts of place value and division.  (Grade 4 expectations in this domain are limited to whole numbers less than or equal to 1,000,000.)</t>
  </si>
  <si>
    <r>
      <t>P</t>
    </r>
    <r>
      <rPr>
        <sz val="10"/>
        <rFont val="Times New Roman"/>
        <family val="1"/>
      </rPr>
      <t>0206.4.2 Reflect, rotate, and translate shapes to explore the effects of transformations.</t>
    </r>
  </si>
  <si>
    <r>
      <t>P</t>
    </r>
    <r>
      <rPr>
        <sz val="10"/>
        <rFont val="Times New Roman"/>
        <family val="1"/>
      </rPr>
      <t>0406.4.16 Examine transformations in the coordinate plane.</t>
    </r>
  </si>
  <si>
    <r>
      <t>P</t>
    </r>
    <r>
      <rPr>
        <sz val="10"/>
        <rFont val="Times New Roman"/>
        <family val="1"/>
      </rPr>
      <t>0406.4.17 Predict the results of a transformation of a geometric shape.</t>
    </r>
  </si>
  <si>
    <r>
      <t>P</t>
    </r>
    <r>
      <rPr>
        <sz val="10"/>
        <rFont val="Times New Roman"/>
        <family val="1"/>
      </rPr>
      <t>0606.4.7 Work with transformations in a plane and explore meanings.</t>
    </r>
  </si>
  <si>
    <r>
      <t>P</t>
    </r>
    <r>
      <rPr>
        <sz val="10"/>
        <rFont val="Times New Roman"/>
        <family val="1"/>
      </rPr>
      <t>0606.4.8 Understand scaling, dilation, and their relation to similarity.</t>
    </r>
  </si>
  <si>
    <r>
      <t>P</t>
    </r>
    <r>
      <rPr>
        <sz val="10"/>
        <rFont val="Times New Roman"/>
        <family val="1"/>
      </rPr>
      <t>0606.4.10 Describe effect of a transformation on two-dimensional figure and resulting symmetry.</t>
    </r>
  </si>
  <si>
    <t>CC.6.G.1 Find area of right triangles, other triangles, special quadrilaterals, and polygons by composing into rectangles or decomposing into triangles and other shapes; apply these techniques in the context of solving real-world and mathematical problems.</t>
  </si>
  <si>
    <t>CC.6.G.2 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</si>
  <si>
    <t>CC.6.G.3 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</si>
  <si>
    <t>CC.6.G.4 Represent three-dimensional figures using nets made up of rectangles and triangles, and use the nets to find the surface area of these figures. Apply these techniques in the context of solving real-world and mathematical problems.</t>
  </si>
  <si>
    <t>CC.6.SP.1 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t>
  </si>
  <si>
    <t>CC.6.SP.2 Understand that a set of data collected to answer a statistical question has a distribution which can be described by its center, spread, and overall shape.</t>
  </si>
  <si>
    <t>CC.6.SP.3 Recognize that a measure of center for a numerical data set summarizes all of its values with a single number, while a measure of variation describes how its values vary with a single number.</t>
  </si>
  <si>
    <t xml:space="preserve">CC.6.SP.4 Display numerical data in plots on a number line, including dot plots, histograms, and box plots. </t>
  </si>
  <si>
    <t>RP</t>
  </si>
  <si>
    <t>NS</t>
  </si>
  <si>
    <t>EE</t>
  </si>
  <si>
    <t>CC.7.RP.1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</si>
  <si>
    <t>CC.7.RP.2 Recognize and represent proportional relationships between quantities.</t>
  </si>
  <si>
    <t>CC.7.RP.2a Decide whether two quantities are in a proportional relationship, e.g., by testing for equivalent ratios in a table or graphing on a coordinate plane and observing whether the graph is a straight line through the origin.</t>
  </si>
  <si>
    <t>CC.7.RP.2b Identify the constant of proportionality (unit rate) in tables, graphs, equations, diagrams, and verbal descriptions of proportional relationships.</t>
  </si>
  <si>
    <t>CC.7.RP.2c Represent proportional relationships by equations. For example, if total cost t is proportional to the number n of items purchased at a constant price p, the relationship between the total cost and the number of items can be expressed as t = pn.</t>
  </si>
  <si>
    <t>CC.7.RP.2d Explain what a point (x, y) on the graph of a proportional relationship means in terms of the situation, with special attention to the points (0, 0) and (1, r) where r is the unit rate.</t>
  </si>
  <si>
    <t>CC.7.RP.3 Use proportional relationships to solve multistep ratio and percent problems. Examples: simple interest, tax, markups and markdowns, gratuities and commissions, fees, percent increase and decrease, percent error.</t>
  </si>
  <si>
    <t>CC.7.NS.1 Apply and extend previous understandings of addition and subtraction to add and subtract rational numbers; represent addition and subtraction on a horizontal or vertical number line diagram.</t>
  </si>
  <si>
    <t xml:space="preserve">CC.7.NS.1a Describe situations in which opposite quantities combine to make 0. For example, a hydrogen atom has 0 charge because its two constituents are oppositely charged. </t>
  </si>
  <si>
    <t>CC.7.NS.1b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t>
  </si>
  <si>
    <t>CC.7.NS.1c Understand subtraction of rational numbers as adding the additive inverse, p – q = p + (–q). Show that the distance between two rational numbers on the number line is the absolute value of their difference, and apply this principle in real-world contexts.</t>
  </si>
  <si>
    <t xml:space="preserve">CC.7.NS.1d Apply properties of operations as strategies to add and subtract rational numbers. </t>
  </si>
  <si>
    <t xml:space="preserve">CC.7.NS.2 Apply and extend previous understandings of multiplication and division and of fractions to multiply and divide rational numbers. </t>
  </si>
  <si>
    <t>CC.7.NS.2a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</si>
  <si>
    <t>CC.7.NS.2b Understand that integers can be divided, provided that the divisor is not zero, and every quotient of integers (with non-zero divisor) is a rational number. If p and q are integers then –(p/q) = (–p)/q = p/(–q). Interpret quotients of rational numbers by describing real-world contexts.</t>
  </si>
  <si>
    <t>CC.7.NS.2c Apply properties of operations as strategies to multiply and divide rational numbers.</t>
  </si>
  <si>
    <t>CC.7.NS.2d Convert a rational number to a decimal using long division; know that the decimal form of a rational number terminates in 0s or eventually repeats.</t>
  </si>
  <si>
    <t xml:space="preserve">CC.7.NS.3 Solve real-world and mathematical problems involving the four operations with rational numbers.  (Computations with rational numbers extend the rules for manipulating fractions to complex fractions.)_x000D_
</t>
  </si>
  <si>
    <t>CC.7.EE.1 Apply properties of operations as strategies to add, subtract, factor, and expand linear expressions with rational coefficients.</t>
  </si>
  <si>
    <t>CC.7.EE.2 Understand that rewriting an expression in different forms in a problem context can shed light on the problem and how the quantities in it are related. For example, a + 0.05a = 1.05a means that “increase by 5%” is the same as “multiply by 1.05.”</t>
  </si>
  <si>
    <t>CC.7.EE.3 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</si>
  <si>
    <t>CC.7.EE.4 Use variables to represent quantities in a real-world or mathematical problem, and construct simple equations and inequalities to solve problems by reasoning about the quantities.</t>
  </si>
  <si>
    <t>CC.7.EE.4a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</si>
  <si>
    <t>CC.7.EE.4b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</si>
  <si>
    <t>CC.7.G.1 Solve problems involving scale drawings of geometric figures, including computing actual lengths and areas from a scale drawing and reproducing a scale drawing at a different scale.</t>
  </si>
  <si>
    <t>CC.7.G.2 Draw (freehand, with ruler and protractor, and with technology) geometric shapes with given conditions. Focus on constructing triangles from three measures of angles or sides, noticing when the conditions determine a unique triangle, more than one triangle, or no triangle.</t>
  </si>
  <si>
    <t xml:space="preserve">CC.7.G.3 Describe the two-dimensional figures that result from slicing three-dimensional figures, as in plane sections of right rectangular prisms and right rectangular pyramids. </t>
  </si>
  <si>
    <t>CC.7.G.4 Know the formulas for the area and circumference of a circle and use them to solve problems; give an informal derivation of the relationship between the circumference and area of a circle.</t>
  </si>
  <si>
    <t xml:space="preserve">CC.7.G.5 Use facts about supplementary, complementary, vertical, and adjacent angles in a multi-step problem to write and solve simple equations for an unknown angle in a figure. </t>
  </si>
  <si>
    <t xml:space="preserve">CC.7.G.6 Solve real-world and mathematical problems involving area, volume and surface area of two- and three-dimensional objects composed of triangles, quadrilaterals, polygons, cubes, and right prisms. </t>
  </si>
  <si>
    <t>CC.7.SP.1 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</si>
  <si>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CC.7.SP.2 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t>
  </si>
  <si>
    <t>CC.7.SP.3 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t>
  </si>
  <si>
    <t>CC.7.SP.4 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</si>
  <si>
    <t>CC.7.SP.5 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</si>
  <si>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CC.7.SP.6 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</si>
  <si>
    <t xml:space="preserve">CC.7.SP.7 Develop a probability model and use it to find probabilities of events. Compare probabilities from a model to observed frequencies; if the agreement is not good, explain possible sources of the discrepancy. </t>
  </si>
  <si>
    <t>CC.7.SP.7a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</si>
  <si>
    <t>CC.7.SP.7b Develop a probability model (which may not be uniform) by observing frequencies in data generated from a chance process. For example, find the approximate probability that a spinning penny will land heads up or that a tossed paper cup will land open-end down. Do the outcomes for the spinning penny appear to be equally likely based on the observed frequencies?</t>
  </si>
  <si>
    <t>CC.2.NBT.7 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</si>
  <si>
    <t>CC.2.NBT.8 Mentally add 10 or 100 to a given number 100-900, and mentally subtract 10 or 100 from a given number 100-900.</t>
  </si>
  <si>
    <t xml:space="preserve">CC.2.NBT.9 Explain why addition and subtraction strategies work, using place value and the properties of operations. (Explanations may be supported by drawings or objects.)  </t>
  </si>
  <si>
    <t xml:space="preserve">CC.2.MD.1 Measure the length of an object by selecting and using appropriate tools such as rulers, yardsticks, meter sticks, and measuring tapes. </t>
  </si>
  <si>
    <t>SPI 0806.2.1 Order and compare rational and irrational numbers and locate on the number line.</t>
  </si>
  <si>
    <t>SPI 3102.2.3 Describe and/or order a given set of real numbers including both rational and irrational numbers.</t>
  </si>
  <si>
    <r>
      <t>P</t>
    </r>
    <r>
      <rPr>
        <sz val="10"/>
        <rFont val="Times New Roman"/>
        <family val="1"/>
      </rPr>
      <t>3102.2.8 Use multiple strategies to approximate the value of an irrational number including irrational square roots and including location on the real number line.</t>
    </r>
  </si>
  <si>
    <r>
      <t>P</t>
    </r>
    <r>
      <rPr>
        <sz val="10"/>
        <rFont val="Times New Roman"/>
        <family val="1"/>
      </rPr>
      <t>0806.2.6 Simplify expressions using the law of exponents.</t>
    </r>
  </si>
  <si>
    <r>
      <t>P</t>
    </r>
    <r>
      <rPr>
        <sz val="10"/>
        <rFont val="Times New Roman"/>
        <family val="1"/>
      </rPr>
      <t>0706.2.12 Square root of mn equals square root of m times square root of n; square root of m</t>
    </r>
    <r>
      <rPr>
        <vertAlign val="superscript"/>
        <sz val="10"/>
        <rFont val="Times New Roman"/>
        <family val="1"/>
      </rPr>
      <t>2</t>
    </r>
    <r>
      <rPr>
        <sz val="10"/>
        <rFont val="Times New Roman"/>
        <family val="1"/>
      </rPr>
      <t xml:space="preserve"> equals m.</t>
    </r>
  </si>
  <si>
    <r>
      <t>P</t>
    </r>
    <r>
      <rPr>
        <sz val="10"/>
        <rFont val="Times New Roman"/>
        <family val="1"/>
      </rPr>
      <t>3102.3.4 Simplify expressions using exponent rules including negative exponents and zero exponents.</t>
    </r>
  </si>
  <si>
    <t>SPI 0706.2.3 Use rational numbers and roots of perfect squares/cubes to solve contextual problems.</t>
  </si>
  <si>
    <r>
      <t>P</t>
    </r>
    <r>
      <rPr>
        <sz val="10"/>
        <rFont val="Times New Roman"/>
        <family val="1"/>
      </rPr>
      <t>0706.2.9 Compare/order rational numbers and roots of perfect squares and locate on a number line.</t>
    </r>
  </si>
  <si>
    <r>
      <t>P</t>
    </r>
    <r>
      <rPr>
        <sz val="10"/>
        <rFont val="Times New Roman"/>
        <family val="1"/>
      </rPr>
      <t>0806.2.2 Square numbers and simplify square roots.</t>
    </r>
  </si>
  <si>
    <r>
      <t>P</t>
    </r>
    <r>
      <rPr>
        <sz val="10"/>
        <rFont val="Times New Roman"/>
        <family val="1"/>
      </rPr>
      <t>0806.2.3 Problems involving powers and roots.</t>
    </r>
  </si>
  <si>
    <r>
      <t>P</t>
    </r>
    <r>
      <rPr>
        <sz val="10"/>
        <rFont val="Times New Roman"/>
        <family val="1"/>
      </rPr>
      <t>0706.2.13 Negative exponents to represent small number, translate between scientific and standard notation.</t>
    </r>
  </si>
  <si>
    <r>
      <t>P</t>
    </r>
    <r>
      <rPr>
        <sz val="10"/>
        <rFont val="Times New Roman"/>
        <family val="1"/>
      </rPr>
      <t>0706.2.14 Scientific notation and importance in magnitude of a number.</t>
    </r>
  </si>
  <si>
    <r>
      <t>P</t>
    </r>
    <r>
      <rPr>
        <sz val="10"/>
        <rFont val="Times New Roman"/>
        <family val="1"/>
      </rPr>
      <t>0706.1.11 Translate from calculator notation to scientific/ standard notation.</t>
    </r>
  </si>
  <si>
    <r>
      <t>P</t>
    </r>
    <r>
      <rPr>
        <sz val="10"/>
        <rFont val="Times New Roman"/>
        <family val="1"/>
      </rPr>
      <t>0806.2.1 Use exponential, scientific, and calculator notation.</t>
    </r>
  </si>
  <si>
    <t>SPI 0806.2.3 Use scientific notation to compute products and quotients.</t>
  </si>
  <si>
    <t>SPI 0806.2.4 Solve real-world problems requiring scientific notation.</t>
  </si>
  <si>
    <r>
      <t>P</t>
    </r>
    <r>
      <rPr>
        <sz val="10"/>
        <rFont val="Times New Roman"/>
        <family val="1"/>
      </rPr>
      <t>0806.2.7 Add, subtract, multiply, and divide numbers expressed in scientific notation.</t>
    </r>
  </si>
  <si>
    <r>
      <t>P</t>
    </r>
    <r>
      <rPr>
        <sz val="10"/>
        <rFont val="Times New Roman"/>
        <family val="1"/>
      </rPr>
      <t>3102.2.6 Use appropriate technologies to apply scientific notation to real-world problems.</t>
    </r>
  </si>
  <si>
    <t>SPI 3102.2.2 Multiply, divide, and square numbers expressed in scientific notation.</t>
  </si>
  <si>
    <r>
      <t>P</t>
    </r>
    <r>
      <rPr>
        <sz val="10"/>
        <rFont val="Times New Roman"/>
        <family val="1"/>
      </rPr>
      <t>3102.2.5 Perform operations with numbers in scientific notation (multiply, divide, powers).</t>
    </r>
  </si>
  <si>
    <r>
      <t>P</t>
    </r>
    <r>
      <rPr>
        <sz val="10"/>
        <rFont val="Times New Roman"/>
        <family val="1"/>
      </rPr>
      <t>3102.3.20 Understand that a linear equation has a constant rate of change called slope and represent slope in various forms.</t>
    </r>
  </si>
  <si>
    <r>
      <t>P</t>
    </r>
    <r>
      <rPr>
        <sz val="10"/>
        <rFont val="Times New Roman"/>
        <family val="1"/>
      </rPr>
      <t>0806.3.8 Recognize a proportion as a special case of a linear equation and understand the constant or proportionality is the slope, and the resulting graph is a line through the origin.</t>
    </r>
  </si>
  <si>
    <r>
      <t>P</t>
    </r>
    <r>
      <rPr>
        <sz val="10"/>
        <rFont val="Times New Roman"/>
        <family val="1"/>
      </rPr>
      <t>3102.1.16 Understand and express the meaning of the slope and y-intercept of linear functions in real-world contexts.</t>
    </r>
  </si>
  <si>
    <r>
      <t>P</t>
    </r>
    <r>
      <rPr>
        <sz val="10"/>
        <rFont val="Times New Roman"/>
        <family val="1"/>
      </rPr>
      <t>0806.3.2 Represent algebraic relationships with equations and inequalities.</t>
    </r>
  </si>
  <si>
    <t>SPI 0806.3.2 Solve the linear equation f(x)=g(x).</t>
  </si>
  <si>
    <t>SPI 3102.3.8 Determine the equation of a line and/or graph a linear equation.</t>
  </si>
  <si>
    <r>
      <t>P</t>
    </r>
    <r>
      <rPr>
        <sz val="10"/>
        <rFont val="Times New Roman"/>
        <family val="1"/>
      </rPr>
      <t>3102.1.10 Use algebraic properties to develop a valid mathematical argument.</t>
    </r>
  </si>
  <si>
    <r>
      <t>P</t>
    </r>
    <r>
      <rPr>
        <sz val="10"/>
        <rFont val="Times New Roman"/>
        <family val="1"/>
      </rPr>
      <t>0806.1.8 Use a variety of methods to solve real-world problems involving multi-step linear equations.</t>
    </r>
  </si>
  <si>
    <r>
      <t>P</t>
    </r>
    <r>
      <rPr>
        <sz val="10"/>
        <rFont val="Times New Roman"/>
        <family val="1"/>
      </rPr>
      <t>3102.3.7 Use various models (including area models) to represent products of polynomials.</t>
    </r>
  </si>
  <si>
    <t>Work with radicals and integer exponents.</t>
  </si>
  <si>
    <r>
      <t>P</t>
    </r>
    <r>
      <rPr>
        <sz val="10"/>
        <rFont val="Times New Roman"/>
        <family val="1"/>
      </rPr>
      <t>0706.2.11 Estimate square/cube roots and use calculator for approximation.</t>
    </r>
  </si>
  <si>
    <t>SPI 0706.2.4 Determine the approximate location of square/cube roots.</t>
  </si>
  <si>
    <t>CC.8.EE.7a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t>
  </si>
  <si>
    <t>CC.8.EE.7b Solve linear equations with rational number coefficients, including equations whose solutions require expanding expressions using the distributive property and collecting like terms.</t>
  </si>
  <si>
    <t>CC.4.MD.7 Geometric measurement: 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</si>
  <si>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CC.4.G.1 Draw points, lines, line segments, rays, angles (right, acute, obtuse), and perpendicular and parallel lines. Identify these in two-dimensional figures.</t>
  </si>
  <si>
    <t>CC.4.G.2 Classify two-dimensional figures based on the presence or absence of parallel or perpendicular lines, or the presence or absence of angles of a specified size. Recognize right triangles as a category, and identify right triangles.</t>
  </si>
  <si>
    <t>CC.4.G.3 Recognize a line of symmetry for a two-dimensional figure as a line across the figure such that the figure can be folded along the line into matching parts. Identify line-symmetric figures and draw lines of symmetry.</t>
  </si>
  <si>
    <t>NBT</t>
  </si>
  <si>
    <t>NF</t>
  </si>
  <si>
    <t>MD</t>
  </si>
  <si>
    <t>G</t>
  </si>
  <si>
    <t>I Can Statements</t>
  </si>
  <si>
    <t xml:space="preserve">4th Grade </t>
  </si>
  <si>
    <t>CC.5.OA.1 Use parentheses, brackets, or braces in numerical expressions, and evaluate expressions with these symbols.</t>
  </si>
  <si>
    <t>CC.5.OA.2 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</si>
  <si>
    <t xml:space="preserve">CC.5.OA.3 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t>
  </si>
  <si>
    <t xml:space="preserve">CC.5.NBT.1 Recognize that in a multi-digit number, a digit in one place represents 10 times as much as it represents in the place to its right and 1/10 of what it represents in the place to its left. </t>
  </si>
  <si>
    <t>CC.5.NBT.2 Explain patterns in the number of zeros of the product when multiplying a number by powers of 10, and explain patterns in the placement of the decimal point when a decimal is multiplied or divided by a power of 10. Use whole number exponents to denote powers of 10.</t>
  </si>
  <si>
    <t>CC.5.NBT.3 Read, write, and compare decimals to thousandths.</t>
  </si>
  <si>
    <t>SPI 0406.2.3 Identify the place value of a specified digit in a number and the quantity it represents.</t>
  </si>
  <si>
    <t>SPI 0406.2.1 Read and write numbers from hundredths to hundred-thousands in numerals and in words.</t>
  </si>
  <si>
    <r>
      <t>P</t>
    </r>
    <r>
      <rPr>
        <sz val="10"/>
        <rFont val="Times New Roman"/>
        <family val="1"/>
      </rPr>
      <t>0406.2.1 Compose and decompose quantities according to place value.</t>
    </r>
  </si>
  <si>
    <r>
      <t>P</t>
    </r>
    <r>
      <rPr>
        <sz val="10"/>
        <rFont val="Times New Roman"/>
        <family val="1"/>
      </rPr>
      <t>0706.2.15 Rules of rounding, degree of accuracy, significant digits.</t>
    </r>
  </si>
  <si>
    <r>
      <t>P</t>
    </r>
    <r>
      <rPr>
        <sz val="10"/>
        <rFont val="Times New Roman"/>
        <family val="1"/>
      </rPr>
      <t>0406.2.4 Understand and use a reliable algorithm for multiplying multi-digit numbers and dividing numbers by a single digit divisor accurately and efficiently.</t>
    </r>
  </si>
  <si>
    <t>CC.4.NF.4b Understand a multiple of a/b as a multiple of 1/b, and use this understanding to multiply a fraction by a whole number. For example, use a visual fraction model to express 3 × (2/5) as 6 × (1/5), recognizing this product as 6/5. (In general, n × (a/b) = (n × a)/b.)</t>
  </si>
  <si>
    <t xml:space="preserve">CC.4.NF.4c 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 </t>
  </si>
  <si>
    <t>CC.4.NF.5 Express a fraction with denominator 10 as an equivalent fraction with denominator 100, and use this technique to add two fractions with respective denominators 10 and 100.  For example, express 3/10 as 30/100 and add 3/10 + 4/100 = 34/100. (Students who can generate equivalent fractions can develop strategies for adding fractions with unlike denominators in general. But addition and subtraction with unlike denominators in general is not a requirement at this grade.) (Grade 4 expectations in this domain are limited to fractions with denominators 2, 3, 4, 5, 6, 8, 10, 12, and 100.)</t>
  </si>
  <si>
    <t>CC.4.NF.6 Use decimal notation for fractions with denominators 10 or 100. For example, rewrite 0.62 as 62/100 ; describe a length as 0.62 meters; locate 0.62 on a number line diagram. (Grade 4 expectations in this domain are limited to fractions with denominators 2, 3, 4, 5, 6, 8, 10, 12, and 100.)</t>
  </si>
  <si>
    <r>
      <t>CC.8.EE.1 Know and apply the properties of integer exponents to generate equivalent numerical expressions. For example, 3</t>
    </r>
    <r>
      <rPr>
        <vertAlign val="superscript"/>
        <sz val="10"/>
        <rFont val="Times New Roman"/>
        <family val="1"/>
      </rPr>
      <t>2</t>
    </r>
    <r>
      <rPr>
        <sz val="10"/>
        <rFont val="Times New Roman"/>
        <family val="1"/>
      </rPr>
      <t xml:space="preserve"> × 3</t>
    </r>
    <r>
      <rPr>
        <vertAlign val="superscript"/>
        <sz val="10"/>
        <rFont val="Times New Roman"/>
        <family val="1"/>
      </rPr>
      <t>(–5)</t>
    </r>
    <r>
      <rPr>
        <sz val="10"/>
        <rFont val="Times New Roman"/>
        <family val="1"/>
      </rPr>
      <t xml:space="preserve"> = 3</t>
    </r>
    <r>
      <rPr>
        <vertAlign val="superscript"/>
        <sz val="10"/>
        <rFont val="Times New Roman"/>
        <family val="1"/>
      </rPr>
      <t>(–3)</t>
    </r>
    <r>
      <rPr>
        <sz val="10"/>
        <rFont val="Times New Roman"/>
        <family val="1"/>
      </rPr>
      <t xml:space="preserve"> = 1/(3</t>
    </r>
    <r>
      <rPr>
        <vertAlign val="superscript"/>
        <sz val="10"/>
        <rFont val="Times New Roman"/>
        <family val="1"/>
      </rPr>
      <t>3</t>
    </r>
    <r>
      <rPr>
        <sz val="10"/>
        <rFont val="Times New Roman"/>
        <family val="1"/>
      </rPr>
      <t>) = 1/27.</t>
    </r>
  </si>
  <si>
    <t>SPI 0806.2.2 Identify numbers and square roots as rational or irrational.</t>
  </si>
  <si>
    <t>CC.5.NF.6 Solve real world problems involving multiplication of fractions and mixed numbers, e.g., by using visual fraction models or equations to represent the problem.</t>
  </si>
  <si>
    <t>CC.5.NF.7 Apply and extend previous understandings of division to divide unit fractions by whole numbers and whole numbers by unit fractions. (Students able to multiply fractions in general can develop strategies to divide fractions in general, by reasoning about the relationship between multiplication and division. But division of a fraction by a fraction is not a requirement at this grade.)</t>
  </si>
  <si>
    <t>CC.5.NF.7a 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 4 = 1/3.</t>
  </si>
  <si>
    <t>CC.5.NF.7b Interpret division of a whole number by a unit fraction, and compute such quotients. For example, create a story context for 4 ÷ (1/5) and use a visual fraction model to show the quotient. Use the relationship between multiplication and division to explain that 4 ÷ (1/5) = 20 because 20 × (1/5) = 4.</t>
  </si>
  <si>
    <t>SPI 0506.3.1 Evaluate algebraic expressions involving decimals and fractions using order of operations.</t>
  </si>
  <si>
    <t>SPI 0506.3.2 Evaluate multi-step numerical expressions involving fractions using order of operations.</t>
  </si>
  <si>
    <t>SPI 0606.3.2 Use order of operations.</t>
  </si>
  <si>
    <r>
      <t>P</t>
    </r>
    <r>
      <rPr>
        <sz val="10"/>
        <rFont val="Times New Roman"/>
        <family val="1"/>
      </rPr>
      <t>0506.3.3 Solve single-step linear equations using inverse operations.</t>
    </r>
  </si>
  <si>
    <r>
      <t>P</t>
    </r>
    <r>
      <rPr>
        <sz val="10"/>
        <rFont val="Times New Roman"/>
        <family val="1"/>
      </rPr>
      <t>0506.1.8 Use patterns, models, and relationships as contexts for writing inequalities and simple equations.</t>
    </r>
  </si>
  <si>
    <r>
      <t>P</t>
    </r>
    <r>
      <rPr>
        <sz val="10"/>
        <rFont val="Times New Roman"/>
        <family val="1"/>
      </rPr>
      <t>0206.3.1 Given rules, complete tables to reveal both arithmetic and geometric patterns.</t>
    </r>
  </si>
  <si>
    <t>SPI 0606.3.7 Use algebraic expressions and properties to analyze numeric and geometric patterns.</t>
  </si>
  <si>
    <r>
      <t>P</t>
    </r>
    <r>
      <rPr>
        <sz val="10"/>
        <rFont val="Times New Roman"/>
        <family val="1"/>
      </rPr>
      <t>0506.2.10 Use exponential notation to represent repeated multiplication of whole numbers.</t>
    </r>
  </si>
  <si>
    <r>
      <t>P</t>
    </r>
    <r>
      <rPr>
        <sz val="10"/>
        <rFont val="Times New Roman"/>
        <family val="1"/>
      </rPr>
      <t>0506.2.7 Understand the placement of the decimal point in calculations of multiplication and long division, including in placement in the estimation of the answer.</t>
    </r>
  </si>
  <si>
    <t>I can find the missing part in a subtraction sentence.</t>
  </si>
  <si>
    <r>
      <t>P</t>
    </r>
    <r>
      <rPr>
        <sz val="10"/>
        <rFont val="Times New Roman"/>
        <family val="1"/>
      </rPr>
      <t>0506.1.2 Make reasonable estimates of fraction and decimal sums or differences using models.</t>
    </r>
  </si>
  <si>
    <r>
      <t>P</t>
    </r>
    <r>
      <rPr>
        <sz val="10"/>
        <rFont val="Times New Roman"/>
        <family val="1"/>
      </rPr>
      <t>0506.1.3 Explore different methods of estimation including rounding and truncating.</t>
    </r>
  </si>
  <si>
    <t>SPI 0506.2.5 Solve addition and subtraction problems involving both fractions and decimals.</t>
  </si>
  <si>
    <t>SPI 0506.2.6 Add and subtract proper and improper fractions as well as mixed numbers.</t>
  </si>
  <si>
    <r>
      <t>P</t>
    </r>
    <r>
      <rPr>
        <sz val="10"/>
        <rFont val="Times New Roman"/>
        <family val="1"/>
      </rPr>
      <t>0506.2.3 Use visual models, benchmarks, and equivalent forms to add and subtract commonly used fractions and decimals.</t>
    </r>
  </si>
  <si>
    <t>SPI 0506.2.7 Recognize equivalent representations for the same number.</t>
  </si>
  <si>
    <r>
      <t>P</t>
    </r>
    <r>
      <rPr>
        <sz val="10"/>
        <rFont val="Times New Roman"/>
        <family val="1"/>
      </rPr>
      <t>0506.2.6 Add and subtract mixed numbers.</t>
    </r>
  </si>
  <si>
    <t>SPI 0506.3.3 Find the unknown in single-step equations involving fractions and mixed numbers.</t>
  </si>
  <si>
    <r>
      <t>P</t>
    </r>
    <r>
      <rPr>
        <sz val="10"/>
        <rFont val="Times New Roman"/>
        <family val="1"/>
      </rPr>
      <t>0506.1.7 Organize and consolidate verbal statements involving fractions and mixed numbers into diagrams, symbols, and numerical expressions.</t>
    </r>
  </si>
  <si>
    <r>
      <t>P</t>
    </r>
    <r>
      <rPr>
        <sz val="10"/>
        <rFont val="Times New Roman"/>
        <family val="1"/>
      </rPr>
      <t>0506.2.5 Make reasonable estimates of fraction and decimal sums and differences.</t>
    </r>
  </si>
  <si>
    <t>SPI 0606.2.1 Multiplication and division of fractions.</t>
  </si>
  <si>
    <r>
      <t>P</t>
    </r>
    <r>
      <rPr>
        <sz val="10"/>
        <rFont val="Times New Roman"/>
        <family val="1"/>
      </rPr>
      <t>0406.4.19 Design and analyze simple tilings and tessellations.</t>
    </r>
  </si>
  <si>
    <r>
      <t>P</t>
    </r>
    <r>
      <rPr>
        <sz val="10"/>
        <rFont val="Times New Roman"/>
        <family val="1"/>
      </rPr>
      <t>0606.2.2 Use area models to represent multiplication of fractions.</t>
    </r>
  </si>
  <si>
    <t>SPI 0506.4.6 Record measurements in context to reasonable degree of accuracy using decimals and/or fractions.</t>
  </si>
  <si>
    <r>
      <t>P</t>
    </r>
    <r>
      <rPr>
        <sz val="10"/>
        <rFont val="Times New Roman"/>
        <family val="1"/>
      </rPr>
      <t>0506.3.6 Recognize there are many numbers between any two whole numbers on the number line.</t>
    </r>
  </si>
  <si>
    <t>SPI 0506.5.1 Depict data using various representations, including decimal and/or fractional data.</t>
  </si>
  <si>
    <r>
      <t>P</t>
    </r>
    <r>
      <rPr>
        <sz val="10"/>
        <rFont val="Times New Roman"/>
        <family val="1"/>
      </rPr>
      <t>0606.4.18 Use manipulatives to discover volume of a cone is 1/3 the volume of a cylinder.</t>
    </r>
  </si>
  <si>
    <r>
      <t xml:space="preserve"> </t>
    </r>
    <r>
      <rPr>
        <sz val="10"/>
        <rFont val="Wingdings 2"/>
        <family val="1"/>
        <charset val="2"/>
      </rPr>
      <t>P</t>
    </r>
    <r>
      <rPr>
        <sz val="10"/>
        <rFont val="Times New Roman"/>
        <family val="1"/>
      </rPr>
      <t>0506.4.6 Decompose prisms to calculate surface area and volume.</t>
    </r>
  </si>
  <si>
    <t>CC.3.NBT.1 Use place value understanding and properties of operations to perform multi-digit arithmetic. Use place value understanding to round whole numbers to the nearest 10 or 101</t>
  </si>
  <si>
    <t>CC.3.NBT.1 Use place value understanding and properties of operations to perform multi-digit arithmetic. Use place value understanding to round whole numbers to the nearest 10 or 102</t>
  </si>
  <si>
    <t>SPI 0506.4.4 Solve problems involving surface area and volume of rectangular prisms and polyhedral solids.</t>
  </si>
  <si>
    <t>SPI 0406.4.2 Graph and interpret points with whole number or letter coordinate on grids or in the first quadrant of the coordinate plane.</t>
  </si>
  <si>
    <r>
      <t>P</t>
    </r>
    <r>
      <rPr>
        <sz val="10"/>
        <rFont val="Times New Roman"/>
        <family val="1"/>
      </rPr>
      <t>0506.4.8 Identify characteristics of the set of points that define vertical and horizontal line segments.</t>
    </r>
  </si>
  <si>
    <r>
      <t>P</t>
    </r>
    <r>
      <rPr>
        <sz val="10"/>
        <rFont val="Times New Roman"/>
        <family val="1"/>
      </rPr>
      <t>0506.4.5 Quantify total volume as filling space with same-sized units of volume without gaps or overlap.</t>
    </r>
  </si>
  <si>
    <r>
      <t>P</t>
    </r>
    <r>
      <rPr>
        <sz val="10"/>
        <rFont val="Times New Roman"/>
        <family val="1"/>
      </rPr>
      <t>0506.5.2 Represent data using ordered pairs in the first quadrant of the coordinate system.</t>
    </r>
  </si>
  <si>
    <t>SPI 0506.4.5 Find the length of vertical or horizontal line segment sin the first quadrant of the coordinate system, including problems that require the use of fractions and decimals.</t>
  </si>
  <si>
    <t>SPI 0606.4.1 Identify geometric shape given its properties.</t>
  </si>
  <si>
    <t>SPI 0306.1.6 Identify and use vocabulary to describe attributes of two- and three-dimensional shapes.</t>
  </si>
  <si>
    <r>
      <t>P</t>
    </r>
    <r>
      <rPr>
        <sz val="10"/>
        <rFont val="Times New Roman"/>
        <family val="1"/>
      </rPr>
      <t>0506.1.1 Make and test conjectures about geometric properties and develop logical arguments to justify conclusions.</t>
    </r>
  </si>
  <si>
    <t>SPI 0506.1.1 Given a series of geometric statements, draw a conclusion about the figure described.</t>
  </si>
  <si>
    <t>SPI 0506.2.1 Read and write numbers from millions to millionths in various contexts.</t>
  </si>
  <si>
    <r>
      <t>P</t>
    </r>
    <r>
      <rPr>
        <sz val="10"/>
        <rFont val="Times New Roman"/>
        <family val="1"/>
      </rPr>
      <t>0606.2.6 Recognize common percentages as ratios based on fractions whose denominators are 2, 3, 4, 5, or 10.</t>
    </r>
  </si>
  <si>
    <t>SPI 0506.1.2 Estimate fraction and decimal sums or differences.</t>
  </si>
  <si>
    <r>
      <t>P</t>
    </r>
    <r>
      <rPr>
        <sz val="10"/>
        <rFont val="Times New Roman"/>
        <family val="1"/>
      </rPr>
      <t>0006.3.3 Translate simple patterns into rules.</t>
    </r>
  </si>
  <si>
    <r>
      <t>P</t>
    </r>
    <r>
      <rPr>
        <sz val="10"/>
        <rFont val="Times New Roman"/>
        <family val="1"/>
      </rPr>
      <t>0006.2.3 Count backward from 10 to 1.</t>
    </r>
  </si>
  <si>
    <r>
      <t>P</t>
    </r>
    <r>
      <rPr>
        <sz val="10"/>
        <rFont val="Times New Roman"/>
        <family val="1"/>
      </rPr>
      <t>0006.3.1 Use a variety of manipulatives (such as connecting cubes, number cards, shapes) to create patterns.</t>
    </r>
  </si>
  <si>
    <r>
      <t>P</t>
    </r>
    <r>
      <rPr>
        <sz val="10"/>
        <rFont val="Times New Roman"/>
        <family val="1"/>
      </rPr>
      <t>0006.2.7 Recognize zero (0) as a set with "no objects."</t>
    </r>
  </si>
  <si>
    <r>
      <t>P</t>
    </r>
    <r>
      <rPr>
        <sz val="10"/>
        <rFont val="Times New Roman"/>
        <family val="1"/>
      </rPr>
      <t>0006.2.9 Order the numbers through 25 using numerals and words.</t>
    </r>
  </si>
  <si>
    <r>
      <t>P</t>
    </r>
    <r>
      <rPr>
        <sz val="10"/>
        <rFont val="Times New Roman"/>
        <family val="1"/>
      </rPr>
      <t>0106.3.9 Recognize that zero is the identity element for addition.</t>
    </r>
  </si>
  <si>
    <r>
      <t>P</t>
    </r>
    <r>
      <rPr>
        <sz val="10"/>
        <rFont val="Times New Roman"/>
        <family val="1"/>
      </rPr>
      <t>0006.2.2 Match quantities to 25 with numerals and written words.</t>
    </r>
  </si>
  <si>
    <r>
      <t>P</t>
    </r>
    <r>
      <rPr>
        <sz val="10"/>
        <rFont val="Times New Roman"/>
        <family val="1"/>
      </rPr>
      <t>0006.2.1 Count objects to 25 using one-to-one correspondence and identify the quantity in the counted group.</t>
    </r>
  </si>
  <si>
    <r>
      <t>P</t>
    </r>
    <r>
      <rPr>
        <sz val="10"/>
        <rFont val="Times New Roman"/>
        <family val="1"/>
      </rPr>
      <t>0006.2.5 Create a set with a given number of objects.</t>
    </r>
  </si>
  <si>
    <r>
      <t>P</t>
    </r>
    <r>
      <rPr>
        <sz val="10"/>
        <rFont val="Times New Roman"/>
        <family val="1"/>
      </rPr>
      <t>0006.2.6 Quickly recognize the number of objects in a small set.</t>
    </r>
  </si>
  <si>
    <r>
      <t>P</t>
    </r>
    <r>
      <rPr>
        <sz val="10"/>
        <rFont val="Times New Roman"/>
        <family val="1"/>
      </rPr>
      <t>0006.1.2 Begin to develop the concept of estimation using concrete objects.</t>
    </r>
  </si>
  <si>
    <r>
      <t>P</t>
    </r>
    <r>
      <rPr>
        <sz val="10"/>
        <rFont val="Times New Roman"/>
        <family val="1"/>
      </rPr>
      <t>0006.2.8 Compare sets of ten or fewer objects and identify which are equal to, more than, or less than others.</t>
    </r>
  </si>
  <si>
    <t xml:space="preserve">CC.K.CC.2   Count forward beginning from a given number within the known sequence (instead of having to begin at 1).
</t>
  </si>
  <si>
    <t>CC.5.NF.5 Interpret multiplication as scaling (resizing) by:
  --  a. Comparing the size of a product to the size of one factor on the basis of the size of the other factor, without performing the indicated multiplication. 
  --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(n×a) / (n×b) to the effect of multiplying a/b by 1.</t>
  </si>
  <si>
    <t>CC.5.MD.3 Geometric measurement: Recognize volume as an attribute of solid figures and understand concepts of volume measurement.
  --  a. A cube with side length 1 unit, called a “unit cube,” is said to have “one cubic unit” of volume, and can be used to measure volume.
  --  b. A solid figure which can be packed without gaps or overlaps using n unit cubes is said to have a volume of n cubic units.</t>
  </si>
  <si>
    <t>CC.6.NS.4 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</si>
  <si>
    <t>CC.6.NS.5 Understand that positive and negative numbers are used together to describe quantities having opposite directions or values (e.g., temperature above/below zero, elevation above/below sea level, debits/credits, positive/negative electric charge); use positive and negative numbers to represent quantities in real-world contexts, explaining the meaning of 0 in each situation.</t>
  </si>
  <si>
    <t xml:space="preserve">CC.6.NS.6 Understand a rational number as a point on the number line. Extend number line diagrams and coordinate axes familiar from previous grades to represent points on the line and in the plane with negative number coordinates. </t>
  </si>
  <si>
    <t>CC.6.NS.6a Recognize opposite signs of numbers as indicating locations on opposite sides of 0 on the number line; recognize that the opposite of the opposite of a number is the number itself, e.g., –(–3) = 3, and that 0 is its own opposite.</t>
  </si>
  <si>
    <t xml:space="preserve">CC.6.NS.6b Understand signs of numbers in ordered pairs as indicating locations in quadrants of the coordinate plane; recognize that when two ordered pairs differ only by signs, the locations of the points are related by reflections across one or both axes. </t>
  </si>
  <si>
    <t>CC.6.NS.6c Find and position integers and other rational numbers on a horizontal or vertical number line diagram; find and position pairs of integers and other rational numbers on a coordinate plane.</t>
  </si>
  <si>
    <t xml:space="preserve">CC.6.NS.7  Understand ordering and absolute value of rational numbers. </t>
  </si>
  <si>
    <t>CC.6.NS.7a Interpret statements of inequality as statements about the relative position of two numbers on a number line diagram. For example, interpret –3 &gt; –7 as a statement that –3 is located to the right of –7 on a number line oriented from left to right.</t>
  </si>
  <si>
    <t>CC.6.NS.7b Write, interpret, and explain statements of order for rational numbers in real-world contexts. For example, write –3°C &gt; –7°C to express the fact that –3°C is warmer than –7°C.</t>
  </si>
  <si>
    <t>CC.6.NS.7c 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</si>
  <si>
    <t>CC.6.NS.7d Distinguish comparisons of absolute value from statements about order. For example, recognize that an account balance less than –30 dollars represents a debt greater than 30 dollars.</t>
  </si>
  <si>
    <t>CC.6.NS.8 Solve real-world and mathematical problems by graphing points in all four quadrants of the coordinate plane. Include use of coordinates and absolute value to find distances between points with the same first coordinate or the same second coordinate.</t>
  </si>
  <si>
    <t>CC.6.EE.1 Write and evaluate numerical expressions involving whole-number exponents.</t>
  </si>
  <si>
    <t>CC.6.EE.2 Write, read, and evaluate expressions in which letters stand for numbers.</t>
  </si>
  <si>
    <t xml:space="preserve">CC.6.EE.2a Write expressions that record operations with numbers and with letters standing for numbers. For example, express the calculation “Subtract y from 5” as 5 – y. </t>
  </si>
  <si>
    <t xml:space="preserve">CC.6.EE.2b Identify parts of an expression using mathematical terms (sum, term, product, factor, quotient, coefficient); view one or more parts of an expression as a single entity. For example, describe the expression 2(8 + 7) as a product of two factors; view (8 + 7) as both a single entity and a sum of two terms. </t>
  </si>
  <si>
    <t>CC.6.EE.3 Apply the properties of operations to generate equivalent expressions. For example, apply the distributive property to the expression 3(2 + x) to produce the equivalent expression 6 + 3x; apply the distributive property to the expression 24x + 18y to produce the equivalent expression 6 (4x + 3y); apply properties of operations to y + y + y to produce the equivalent expression 3y.</t>
  </si>
  <si>
    <t>Domain</t>
  </si>
  <si>
    <t>Teacher Edition Page #</t>
  </si>
  <si>
    <t>Common Core Standard</t>
  </si>
  <si>
    <t>I Can</t>
  </si>
  <si>
    <t>*To be developed in 2011-2012</t>
  </si>
  <si>
    <t>TN Standards</t>
  </si>
  <si>
    <t>AAAAAH3+/yY=</t>
  </si>
  <si>
    <t xml:space="preserve">3rd Grade </t>
  </si>
  <si>
    <t>Mathematics: Transitioning to the Common Core State Standards</t>
  </si>
  <si>
    <t>OA</t>
  </si>
  <si>
    <t xml:space="preserve">CC.3.OA.1 Represent and solve problems involving multiplication and division. Interpret products of whole numbers, e.g., interpret 5 × 7 as the total number of objects in 5 groups of 7 objects each. For example, describe a context in which a total number of objects can be expressed as 5 × 7. </t>
  </si>
  <si>
    <t>CC.3.OA.2 Represent and solve problems involving multiplication and division. 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</si>
  <si>
    <t xml:space="preserve">CC.3.OA.3 Represent and solve problems involving multiplication and division. Use multiplication and division within 100 to solve word problems in situations involving equal groups, arrays, and measurement quantities, e.g., by using drawings and equations with a symbol for the unknown number to represent the problem. </t>
  </si>
  <si>
    <t>CC.3.OA.4 Represent and solve problems involving multiplication and division. Determine the unknown whole number in a multiplication or division equation relating three whole numbers. For example, determine the unknown number that makes the equation true in each of the equations 8 × ? = 48,  5 = __÷ 3,  6 × 6 = ?.</t>
  </si>
  <si>
    <t>CC.3.OA.5 Understand properties of multiplication and the relationship between multiplication and division.  Apply properties of operations as strategies to multiply and divide.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 (Students need not use formal terms for these properties.)</t>
  </si>
  <si>
    <t xml:space="preserve">CC.3.OA.6 Understand properties of multiplication and the relationship between multiplication and division.  Understand division as an unknown-factor problem. For example, divide 32 ÷ 8 by finding the number that makes 32 when multiplied by 8. </t>
  </si>
  <si>
    <t>CC.3.OA.7 Multiply and divide within 100. Fluently multiply and divide within 100, using strategies such as the relationship between multiplication and division (e.g., knowing that 8 × 5 = 40, one knows 40 ÷ 5 = 8) or properties of operations. By the end of Grade 3, know from memory all products of one-digit numbers.</t>
  </si>
  <si>
    <t>CC.3.OA.8 Solve problems involving the four operations, and identify and explain patterns in arithmetic. 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whole-number answers; students should know how to perform operations in the conventional order when there are no parentheses to specify a particular order (Order of Operations).)</t>
  </si>
  <si>
    <t xml:space="preserve">CC.3.OA.9 Solve problems involving the four operations, and identify and explain patterns in arithmetic.  Identify arithmetic patterns (including patterns in the addition table or multiplication table), and explain them using properties of operations. For example, observe that 4 times a number is always even, and explain why 4 times a number can be decomposed into two equal addends.   </t>
  </si>
  <si>
    <t>CC.3.NBT.1 Use place value understanding and properties of operations to perform multi-digit arithmetic. Use place value understanding to round whole numbers to the nearest 10 or 100</t>
  </si>
  <si>
    <t>CC.3.NBT.2 Use place value understanding and properties of operations to perform multi-digit arithmetic. Fluently add and subtract within 1000 using strategies and algorithms based on place value, properties of operations, and/or the relationship between addition and subtraction. (A range of algorithms may be used.)</t>
  </si>
  <si>
    <t>CC.3.NBT.3 Use place value understanding and properties of operations to perform multi-digit arithmetic. Multiply one-digit whole numbers by multiples of 10 in the range 10-90 (e.g., 9 × 80, 5 × 60) using strategies based on place value and properties of operations. (A range of algorithms may be used.)</t>
  </si>
  <si>
    <t>CC.3.NF.1 Develop understanding of fractions as numbers. Understand a fraction 1/b as the quantity formed by 1 part when a whole is partitioned into b equal parts; understand a fraction a/b as the quantity formed by a parts of size 1/b.  (Grade 3 expectations in this domain are limited to fractions with denominators 2, 3, 4, 6, and 8.)</t>
  </si>
  <si>
    <t>CC.3.NF.2 Develop understanding of fractions as numbers. Understand a fraction as a number on the number line; represent fractions on a number line diagram.  (Grade 3 expectations in this domain are limited to fractions with denominators 2, 3, 4, 6, and 8.)</t>
  </si>
  <si>
    <t>CC.3.NF.2a Represent a fraction 1/b on a number line diagram by defining the interval from 0 to 1 as the whole and partitioning it into b equal parts. Recognize that each part has size 1/b and that the endpoint of the part based at 0 locates the number 1/b on the number line.  (Grade 3 expectations in this domain are limited to fractions with denominators 2, 3, 4, 6, and 8.)</t>
  </si>
  <si>
    <t>CC.3.NF.2b Represent a fraction a/b on a number line diagram by marking off a lengths 1/b from 0. Recognize that the resulting interval has size a/b and that its endpoint locates the number a/b on the number line.  (Grade 3 expectations in this domain are limited to fractions with denominators 2, 3, 4, 6, and 8.)</t>
  </si>
  <si>
    <t>CC.3.NF.3 Develop understanding of fractions as numbers. Explain equivalence of fractions in special cases, and compare fractions by reasoning about their size.  (Grade 3 expectations in this domain are limited to fractions with denominators 2, 3, 4, 6, and 8.)</t>
  </si>
  <si>
    <t>CC.3.NF.3a Understand two fractions as equivalent (equal) if they are the same size, or the same point on a number line.  (Grade 3 expectations in this domain are limited to fractions with denominators 2, 3, 4, 6, and 8.)</t>
  </si>
  <si>
    <t>CC.3.NF.3b Recognize and generate simple equivalent fractions (e.g., 1/2 = 2/4, 4/6 = 2/3), Explain why the fractions are equivalent, e.g., by using a visual fraction model. (Grade 3 expectations in this domain are limited to fractions with denominators 2, 3, 4, 6, and 8.)</t>
  </si>
  <si>
    <t>CC.3.NF.3c Express whole numbers as fractions, and recognize fractions that are equivalent to whole numbers. Examples: Express 3 in the form 3 = 3/1; recognize that 6/1 = 6; locate 4/4 and 1 at the same point of a number line diagram.  (Grade 3 expectations in this domain are limited to fractions with denominators 2, 3, 4, 6, and 8.)</t>
  </si>
  <si>
    <t>CC.3.NF.3d Compare two fractions with the same numerator or the same denominator, by reasoning about their size, Recognize that valid comparisons rely on the two fractions referring to the same whole. Record the results of comparisons with the symbols &gt;, =, or &lt;, and justify the conclusions, e.g., by using a visual fraction model.  (Grade 3 expectations in this domain are limited to fractions with denominators 2, 3, 4, 6, and 8.)</t>
  </si>
  <si>
    <t xml:space="preserve">CC.3.MD.1 Solve problems involving measurement and estimation of intervals of time, liquid volumes, and masses of objects. Tell and write time to the nearest minute and measure time intervals in minutes. Solve word problems involving addition and subtraction of time intervals in minutes, e.g., by representing the problem on a number line diagram.
</t>
  </si>
  <si>
    <t>CC.1.OA.3 Apply properties of operations as strategies to add and subtract.   Examples: If 8 + 3 = 11 is known, then 3 + 8 = 11 is also known. (Commutative property of addition.)  To add 2 + 6 + 4, the second two numbers can be added to make a ten, so 2 + 6 + 4 = 2 + 10 = 12. (Associative property of addition.) (Students need not use formal terms for these properties.)</t>
  </si>
  <si>
    <t xml:space="preserve">CC.1.OA.4 Understand subtraction as an unknown-addend problem. For example, subtract 10 – 8 by finding the number that makes 10 when added to 8. </t>
  </si>
  <si>
    <t>CC.1.OA.5 Relate counting to addition and subtraction (e.g., by counting on 2 to add 2).</t>
  </si>
  <si>
    <t>CC.1.OA.6 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</si>
  <si>
    <t>CC.1.OA.7 Understand the meaning of the equal sign, and determine if equations involving addition and subtraction are true or false. For example, which of the following equations are true and which are false? 6 = 6,  7 = 8 – 1,  5 + 2 = 2 + 5,  4 + 1 = 5 + 2.</t>
  </si>
  <si>
    <t xml:space="preserve">CC.1.OA.8 Determine the unknown whole number in an addition or subtraction equation relating three whole numbers. For example, determine the unknown number that makes the equation true in each of the equations 8 + ? = 11, 5 = ＿ – 3,  6 + 6 = ＿. </t>
  </si>
  <si>
    <t>CC.1.NBT.1 Count to 120, starting at any number less than 120. In this range, read and write numerals and represent a number of objects with a written numeral.</t>
  </si>
  <si>
    <t xml:space="preserve">CC.1.NBT.3 Compare two two-digit numbers based on meanings of the tens and ones digits, recording the results of comparisons with the symbols &gt;, =, and &lt;. </t>
  </si>
  <si>
    <t xml:space="preserve">CC.1.NBT.4 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 </t>
  </si>
  <si>
    <t>CC.1.NBT.5 Given a two-digit number, mentally find 10 more or 10 less than the number, without having to count; explain the reasoning used.</t>
  </si>
  <si>
    <t xml:space="preserve">CC.1.NBT.6 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t>
  </si>
  <si>
    <t xml:space="preserve">CC.1.MD.1 Order three objects by length; compare the lengths of two objects indirectly by using a third object. </t>
  </si>
  <si>
    <t>CC.1.MD.2 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</si>
  <si>
    <t>CC.1.MD.3 Tell and write time in hours and half-hours using analog and digital clocks.</t>
  </si>
  <si>
    <t>CC.1.MD.4 Organize, represent, and interpret data with up to three categories; ask and answer questions about the total number of data points, how many in each category, and how many more or less are in one category than in another.</t>
  </si>
  <si>
    <t>CC.1.G.1 Distinguish between defining attributes (e.g., triangles are closed and three-sided) versus non-defining attributes (e.g., color, orientation, overall size); for a wide variety of shapes; build and draw shapes to possess defining attributes.</t>
  </si>
  <si>
    <t>CC.1.G.2 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</si>
  <si>
    <t xml:space="preserve">CC.1.G.3 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t>
  </si>
  <si>
    <t>2nd Grade</t>
  </si>
  <si>
    <r>
      <t>P</t>
    </r>
    <r>
      <rPr>
        <sz val="10"/>
        <rFont val="Times New Roman"/>
        <family val="1"/>
      </rPr>
      <t>0406.2.3 Multiply two- and three-digit whole numbers.</t>
    </r>
  </si>
  <si>
    <t>SPI 0406.2.11 Solve problems using whole number multi-digit multiplication.</t>
  </si>
  <si>
    <r>
      <t>P</t>
    </r>
    <r>
      <rPr>
        <sz val="10"/>
        <rFont val="Times New Roman"/>
        <family val="1"/>
      </rPr>
      <t>0406.2.6 Divide three-digit whole numbers by one-digit divisors fluently with pencil and paper.</t>
    </r>
  </si>
  <si>
    <r>
      <t>P</t>
    </r>
    <r>
      <rPr>
        <sz val="10"/>
        <rFont val="Times New Roman"/>
        <family val="1"/>
      </rPr>
      <t>0406.2.11 Use models, benchmarks, and equivalent forms to compare fractions/decimals and locate them on the number line.</t>
    </r>
  </si>
  <si>
    <r>
      <t>P</t>
    </r>
    <r>
      <rPr>
        <sz val="10"/>
        <rFont val="Times New Roman"/>
        <family val="1"/>
      </rPr>
      <t>0406.2.9 Compare equivalent forms while number fractions, and decimals to each other and to benchmark numbers.</t>
    </r>
  </si>
  <si>
    <t>SPI 0406.2.6 Use the symbols &lt;, &gt;, and = to compare common fractions and decimals in both increasing and decreasing order.</t>
  </si>
  <si>
    <t>SPI 0406.2.8 Add and subtract proper fractions with like and unlike denominators and simplify the answer.</t>
  </si>
  <si>
    <t>SPI 0306.2.14 Add and subtract fractions with like denominators.</t>
  </si>
  <si>
    <r>
      <t>P</t>
    </r>
    <r>
      <rPr>
        <sz val="10"/>
        <rFont val="Times New Roman"/>
        <family val="1"/>
      </rPr>
      <t>0406.2.7 Convert improper fractions into mixed numbers and/or decimals.</t>
    </r>
  </si>
  <si>
    <t>SPI 0406.2.7 Convert improper fractions into mixed numbers and/or decimals.</t>
  </si>
  <si>
    <t>SPI 0406.2.2 Locate and place mixed numbers on the number line.</t>
  </si>
  <si>
    <r>
      <t>P</t>
    </r>
    <r>
      <rPr>
        <sz val="10"/>
        <rFont val="Times New Roman"/>
        <family val="1"/>
      </rPr>
      <t>0406.2.8 Generate equivalent forms of whole numbers, decimals, and common fractions (e.g., 1/10, 1/4, 1/2, 3/4).</t>
    </r>
  </si>
  <si>
    <r>
      <t>P</t>
    </r>
    <r>
      <rPr>
        <sz val="10"/>
        <rFont val="Times New Roman"/>
        <family val="1"/>
      </rPr>
      <t>0406.2.2 Understand decimal notation as an extension of the base-ten number system.</t>
    </r>
  </si>
  <si>
    <r>
      <t>P</t>
    </r>
    <r>
      <rPr>
        <sz val="10"/>
        <rFont val="Times New Roman"/>
        <family val="1"/>
      </rPr>
      <t>0606.2.8 Recognize that a terminating decimal equals a fraction with a denominator that is a power of 10.</t>
    </r>
  </si>
  <si>
    <r>
      <t>P</t>
    </r>
    <r>
      <rPr>
        <sz val="10"/>
        <rFont val="Times New Roman"/>
        <family val="1"/>
      </rPr>
      <t>0406.1.8 Match the spoken, written, concrete (including base-ten blocks), and pictorial representations of decimals.</t>
    </r>
  </si>
  <si>
    <t>SPI 0606.2.5 Transform numbers from one form to another.</t>
  </si>
  <si>
    <r>
      <t>P</t>
    </r>
    <r>
      <rPr>
        <sz val="10"/>
        <rFont val="Times New Roman"/>
        <family val="1"/>
      </rPr>
      <t>0306.1.2 Compare and order decimal amounts in the context of money.</t>
    </r>
  </si>
  <si>
    <r>
      <t>P</t>
    </r>
    <r>
      <rPr>
        <sz val="10"/>
        <rFont val="Times New Roman"/>
        <family val="1"/>
      </rPr>
      <t>0406.4.13 Compare objects with respect to a given attribute such as length, area, and capacity.</t>
    </r>
  </si>
  <si>
    <t>SPI 0406.4.8 Convert measurements within a single system that are common in daily life (e.g., hours and minutes, inches and feet, centimeters and meters, quarts and gallons, liters and milliliters).</t>
  </si>
  <si>
    <t>SPI 0406.1.4 Compare objects with respect to a given geometric or physical attribute and select appropriate measurement instrument.</t>
  </si>
  <si>
    <t>SPI 0406.4.7 Determine appropriate size of unit of measurement in problem situations involving length, capacity, or weight.</t>
  </si>
  <si>
    <r>
      <t>P</t>
    </r>
    <r>
      <rPr>
        <sz val="10"/>
        <rFont val="Times New Roman"/>
        <family val="1"/>
      </rPr>
      <t>0406.4.9 Recognize that area does not change when two-dimensional figures are cut apart and rearranged.</t>
    </r>
  </si>
  <si>
    <r>
      <t>P</t>
    </r>
    <r>
      <rPr>
        <sz val="10"/>
        <rFont val="Times New Roman"/>
        <family val="1"/>
      </rPr>
      <t>0406.4.7 Measure liquids using both standard units and metric units.</t>
    </r>
  </si>
  <si>
    <r>
      <t>P</t>
    </r>
    <r>
      <rPr>
        <sz val="10"/>
        <rFont val="Times New Roman"/>
        <family val="1"/>
      </rPr>
      <t>0406.4.6 Recognize the use of decimals in metric measures.</t>
    </r>
  </si>
  <si>
    <r>
      <t>P</t>
    </r>
    <r>
      <rPr>
        <sz val="10"/>
        <rFont val="Times New Roman"/>
        <family val="1"/>
      </rPr>
      <t>0406.4.10 Connect area measure to multiplication using a rectangular area model.</t>
    </r>
  </si>
  <si>
    <r>
      <t>P</t>
    </r>
    <r>
      <rPr>
        <sz val="10"/>
        <rFont val="Times New Roman"/>
        <family val="1"/>
      </rPr>
      <t>0806.4.6 Make within-system and between-system conversions of derived quantities including distance, temperature, and money.</t>
    </r>
  </si>
  <si>
    <r>
      <t>P</t>
    </r>
    <r>
      <rPr>
        <sz val="10"/>
        <rFont val="Times New Roman"/>
        <family val="1"/>
      </rPr>
      <t>0406.4.11 Estimate areas of rectangles in square inches and square centimeters.</t>
    </r>
  </si>
  <si>
    <r>
      <t>P</t>
    </r>
    <r>
      <rPr>
        <sz val="10"/>
        <rFont val="Times New Roman"/>
        <family val="1"/>
      </rPr>
      <t>0406.4.12 Estimate the size of an object with respect to a given measurement attribute (length, perimeter, area, or capacity).</t>
    </r>
  </si>
  <si>
    <t>SPI 0406.4.9 Solve problems involving area and/or perimeter of rectangular figures.</t>
  </si>
  <si>
    <t>CC.4.MD.5 Geometric measurement: Recognize angles as geometric shapes that are formed wherever two rays share a common endpoint, and understand concepts of angle measurement:
  --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
  --  b. An angle that turns through n one-degree angles is said to have an angle measure of n degrees.</t>
  </si>
  <si>
    <t>SPI 0506.2.9 Compare whole numbers, decimals, and fractions using the symbols &lt;, &gt;, and =.</t>
  </si>
  <si>
    <r>
      <t>P</t>
    </r>
    <r>
      <rPr>
        <sz val="10"/>
        <rFont val="Times New Roman"/>
        <family val="1"/>
      </rPr>
      <t>0506.2.4 Use divisibility rules to factor numbers.</t>
    </r>
  </si>
  <si>
    <t>SPI 0506.2.4 Solve problems involving the division of two- and three-digit whole numbers by one- and two-digit whole numbers.</t>
  </si>
  <si>
    <t>SPI 0406.2.9 Add and subtract decimals through hundredths.</t>
  </si>
  <si>
    <r>
      <t>P</t>
    </r>
    <r>
      <rPr>
        <sz val="10"/>
        <rFont val="Times New Roman"/>
        <family val="1"/>
      </rPr>
      <t>006.4.6 Identify positions (such as beside, inside, outside, above, below, between, on, over, under, near, far, forward, backward, top, middle, bottom, left, right) using models, illustrations, and stories.</t>
    </r>
  </si>
  <si>
    <r>
      <t>P</t>
    </r>
    <r>
      <rPr>
        <sz val="10"/>
        <rFont val="Times New Roman"/>
        <family val="1"/>
      </rPr>
      <t>0006.4.2 Identify, name, and describe three-dimensional shapes (such as sphere, cube, cone, cylinder).</t>
    </r>
  </si>
  <si>
    <r>
      <t>P</t>
    </r>
    <r>
      <rPr>
        <sz val="10"/>
        <rFont val="Times New Roman"/>
        <family val="1"/>
      </rPr>
      <t>0006.4.1 Identify, name, and describe a variety of shapes (i.e., circles, squares, triangles, rectangles, hexagons, trapezoids) shown in various positions.</t>
    </r>
  </si>
  <si>
    <r>
      <t>P</t>
    </r>
    <r>
      <rPr>
        <sz val="10"/>
        <rFont val="Times New Roman"/>
        <family val="1"/>
      </rPr>
      <t>0006.4.4 Sort solid figures into groups, name, and describe the attributes of the shapes.</t>
    </r>
  </si>
  <si>
    <r>
      <t>P</t>
    </r>
    <r>
      <rPr>
        <sz val="10"/>
        <rFont val="Times New Roman"/>
        <family val="1"/>
      </rPr>
      <t>0306.4.1 Describe properties of plane figures (such as circles, triangles, squares, and rectangles) and solid shapes (such as spheres, cubes, and cylinders).</t>
    </r>
  </si>
  <si>
    <r>
      <t>P</t>
    </r>
    <r>
      <rPr>
        <sz val="10"/>
        <rFont val="Times New Roman"/>
        <family val="1"/>
      </rPr>
      <t>0006.4.3 Sort plane figures into groups, name and describe the attributes of the shapes (such as number of sides and corners/vertices).</t>
    </r>
  </si>
  <si>
    <r>
      <t>P</t>
    </r>
    <r>
      <rPr>
        <sz val="10"/>
        <rFont val="Times New Roman"/>
        <family val="1"/>
      </rPr>
      <t>0006.4.5 Use basic shapes and spatial reasoning to model objects and construct more complex shapes.</t>
    </r>
  </si>
  <si>
    <r>
      <t>P</t>
    </r>
    <r>
      <rPr>
        <sz val="10"/>
        <rFont val="Times New Roman"/>
        <family val="1"/>
      </rPr>
      <t>0206.4.8 Combine polygons to form other polygons and subdivide a polygon into other polygons.</t>
    </r>
  </si>
  <si>
    <r>
      <t>P</t>
    </r>
    <r>
      <rPr>
        <sz val="10"/>
        <rFont val="Times New Roman"/>
        <family val="1"/>
      </rPr>
      <t>0206.4.9 Recognize the composition and decomposition of polygons.</t>
    </r>
  </si>
  <si>
    <r>
      <t>P</t>
    </r>
    <r>
      <rPr>
        <sz val="10"/>
        <rFont val="Times New Roman"/>
        <family val="1"/>
      </rPr>
      <t>0006.2.12 Model simple joining and separating situations with objects.</t>
    </r>
  </si>
  <si>
    <r>
      <t>P</t>
    </r>
    <r>
      <rPr>
        <sz val="10"/>
        <rFont val="Times New Roman"/>
        <family val="1"/>
      </rPr>
      <t>0006.2.14 Understand add as "put together" or "count on" and solve addition problems with sums less than 20.</t>
    </r>
  </si>
  <si>
    <t>GLE 0006.2.5 Model the numbers 1 through 10 as sums or differences of different sets of whole numbers (composing and decomposing numbers).</t>
  </si>
  <si>
    <t>GLE 0006.3.2 Recognize attributes (such as color, shape, size) and patterns (such as repeated pairs, bilateral symmetry).</t>
  </si>
  <si>
    <t>GLE 0006.4.3 Compare and order measurable attributes of objects directly (by comparing them with each other) and indirectly (by comparing both with a third object).</t>
  </si>
  <si>
    <t>GLE 0006.4.2 Use positional terms to specify locations with simple relationships.</t>
  </si>
  <si>
    <t>GLE 0106.4.1 Recognize, describe, and draw geometric figures.</t>
  </si>
  <si>
    <t>GLE 0006.4.1 Interpret and describe the physical world with geometric ideas and vocabulary.</t>
  </si>
  <si>
    <t>GLE 0006.5.1 Sort objects and use one or more attributes to solve problems.</t>
  </si>
  <si>
    <t>GLE 0006.5.2 Re-sort objects using new attributes.</t>
  </si>
  <si>
    <t>GLE 0006.3.1 Identify, duplicate, and extend simple number patterns and sequential and growing patterns.</t>
  </si>
  <si>
    <t>GLE 0006.2.3 Recognize, compare, and order sets of numerals by using both cardinal and ordinal meanings.</t>
  </si>
  <si>
    <t>GLE 0006.2.2 Create, represent, and recognize a set with a given number of objects.</t>
  </si>
  <si>
    <t>GLE 0006.1.2 Apply and adapt a variety of appropriate strategies to problem solving, including estimation, and reasonableness of the solution.</t>
  </si>
  <si>
    <t>GLE 0006.2.4 Understand addition as "putting together" and subtraction as "breaking apart."</t>
  </si>
  <si>
    <t>GLE 0006.1.8 Use technologies/manipulatives appropriately to develop understanding of mathematical algorithms, to facilitate problem solving, and to create accurate and reliable models of mathematical concepts.</t>
  </si>
  <si>
    <t>GLE 0006.2.1 Count objects in set and use numbers, including written numerals, to 25.</t>
  </si>
  <si>
    <t>GLE 0106.1.8 Use technologies/manipulatives appropriately to develop understanding of mathematical algorithms, to facilitate problem solving, and to create accurate and reliable models of mathematical concepts.</t>
  </si>
  <si>
    <r>
      <t>P</t>
    </r>
    <r>
      <rPr>
        <sz val="10"/>
        <rFont val="Times New Roman"/>
        <family val="1"/>
      </rPr>
      <t>0106.2.10 Use models (such as discrete objects, connecting cubes, and number lines) to represent "part-whole," "adding to," "taking away from," and "comparing to" situations to develop understanding of the meaning of addition and subtraction.</t>
    </r>
  </si>
  <si>
    <t>GLE 0106.1.2 Apply and adapt a variety of appropriate strategies to problem solving, including estimation, and reasonableness of the solution.</t>
  </si>
  <si>
    <t>GLE 0106.1.4 Move flexibly between concrete and abstract representations of mathematical ideas in order to solve problems, model mathematical ideas, and communicate solution strategies.</t>
  </si>
  <si>
    <t>GLE 0106.1.3 Develop independent reasoning to communicate mathematical ideas and derive algorithms and/or formulas.</t>
  </si>
  <si>
    <t>CC.3.NBT.1 Use place value understanding and properties of operations to perform multi-digit arithmetic. Use place value understanding to round whole numbers to the nearest 10 or 103</t>
  </si>
  <si>
    <t>CC.3.NBT.1 Use place value understanding and properties of operations to perform multi-digit arithmetic. Use place value understanding to round whole numbers to the nearest 10 or 104</t>
  </si>
  <si>
    <t>CC.3.NBT.1 Use place value understanding and properties of operations to perform multi-digit arithmetic. Use place value understanding to round whole numbers to the nearest 10 or 105</t>
  </si>
  <si>
    <t>CC.3.NBT.1 Use place value understanding and properties of operations to perform multi-digit arithmetic. Use place value understanding to round whole numbers to the nearest 10 or 106</t>
  </si>
  <si>
    <t>2.3, 2.7, 3.7, 4.5, 5.8, 6.4, 11.1, 11.2, 11.3, 13.4, 13.5, 13.6, T64</t>
  </si>
  <si>
    <t>13.7, 18.5, 20.4</t>
  </si>
  <si>
    <t>7.7, 8.10</t>
  </si>
  <si>
    <t>5.4, 10.3</t>
  </si>
  <si>
    <t>3.2, 8.8, T150</t>
  </si>
  <si>
    <t>1.7, 6.1, 6.2, 6.3</t>
  </si>
  <si>
    <t>6.1, T165, 15.5</t>
  </si>
  <si>
    <t>1.1, 1.2, 12.1, T154</t>
  </si>
  <si>
    <t>1.2, 12.1, T154</t>
  </si>
  <si>
    <t>1.1, 1.2, 12.1</t>
  </si>
  <si>
    <t>2.1, 3.3, 3.4, 3.5, 5.2, 5.5, 7.3</t>
  </si>
  <si>
    <t>2.3, 2.7, 3.7, 4.5, 5.8, 6.4, 11.1, 11.2, 11.3, 13.4, 13.5, 13.6, T65</t>
  </si>
  <si>
    <t>12.1, 13.3</t>
  </si>
  <si>
    <t>9.7, 14.9, 19.7, T167</t>
  </si>
  <si>
    <t>T143</t>
  </si>
  <si>
    <t>18.2, 18.3</t>
  </si>
  <si>
    <t>3.3, 3.4, T148</t>
  </si>
  <si>
    <t>8.5, 8.6, 8.10, T142, T151</t>
  </si>
  <si>
    <t>3.4, 3.5, 3.6</t>
  </si>
  <si>
    <t>6.2, 6.3</t>
  </si>
  <si>
    <t>6.1, 6.2, 6.3, T149</t>
  </si>
  <si>
    <t>8.5, 8.6, 8.4, 7.3, 7.5</t>
  </si>
  <si>
    <t>5.6, 5.7, 5.8, T150, 7.4, 7.5, 7.6, 7.7</t>
  </si>
  <si>
    <t>8.1, 8.6, 8.7</t>
  </si>
  <si>
    <t>10.4, 10.7, 10.9, 12.4, T156</t>
  </si>
  <si>
    <t>12.4, 12.6</t>
  </si>
  <si>
    <t>10.7, 12.2, T155</t>
  </si>
  <si>
    <t>11.1, 11.2, 11.3, T153</t>
  </si>
  <si>
    <t>11.1, 11.2, 1.3, T153</t>
  </si>
  <si>
    <t>2.3, 2.7, 3.7, 4.5, 5.8, 6.4, 11.1, 11.2, 11.3, 13.4, 13.5, 13.6, T66</t>
  </si>
  <si>
    <t>2.3, 2.7, 3.7, 4.5, 5.8, 6.4, 11.1, 11.2, 11.3, 13.4, 13.5, 13.6, T67</t>
  </si>
  <si>
    <t>10.6, T147, T153</t>
  </si>
  <si>
    <t>12.5, T156</t>
  </si>
  <si>
    <t>10.4, 12.3</t>
  </si>
  <si>
    <t>T146</t>
  </si>
  <si>
    <t>4.1, 4.2, 4.5</t>
  </si>
  <si>
    <t>12.2, T155</t>
  </si>
  <si>
    <t>6.2, T167</t>
  </si>
  <si>
    <t>16.4, 16.8, 16.9, T167</t>
  </si>
  <si>
    <t>16.1, 16.2, 16.3, 16.5, 16.6, 16.7, T166</t>
  </si>
  <si>
    <t>16.2, 16.6</t>
  </si>
  <si>
    <t>T158</t>
  </si>
  <si>
    <t>16.2, T167</t>
  </si>
  <si>
    <t>14.1, 16.1, 16.2, 16.5</t>
  </si>
  <si>
    <t>14.2, 14.3, 14.4, 14.6, 14.7, T165</t>
  </si>
  <si>
    <t>17.1, 17.2, 17.5, 17.10, T170</t>
  </si>
  <si>
    <t>T161</t>
  </si>
  <si>
    <t>T158,T166</t>
  </si>
  <si>
    <t>T168</t>
  </si>
  <si>
    <t>9.5, 9.6, T152</t>
  </si>
  <si>
    <t>T150, T157</t>
  </si>
  <si>
    <t>9.1, T151</t>
  </si>
  <si>
    <t>T159</t>
  </si>
  <si>
    <t>T144</t>
  </si>
  <si>
    <t>19.5, 19.6</t>
  </si>
  <si>
    <r>
      <t>P</t>
    </r>
    <r>
      <rPr>
        <sz val="10"/>
        <rFont val="Times New Roman"/>
        <family val="1"/>
      </rPr>
      <t>0106.3.3 Use objects to illustrate the commutative property with basic facts and show that subtraction is not commutative.</t>
    </r>
  </si>
  <si>
    <r>
      <t>P</t>
    </r>
    <r>
      <rPr>
        <sz val="10"/>
        <rFont val="Times New Roman"/>
        <family val="1"/>
      </rPr>
      <t>0106.3.4 Demonstrate understanding of the basic equation a + b = c by using objects to illustrate the number sentences (fact families) associated with any particular sum.</t>
    </r>
  </si>
  <si>
    <t>GLE 0106.3.2 Understand that addition and subtraction are inverse operations.</t>
  </si>
  <si>
    <t>GLE 0106.2.3 Develop strategies for learning basic addition facts and related subtraction facts.</t>
  </si>
  <si>
    <r>
      <t>P</t>
    </r>
    <r>
      <rPr>
        <sz val="10"/>
        <rFont val="Times New Roman"/>
        <family val="1"/>
      </rPr>
      <t>0106.2.12 Use various models to develop strategies for solving arithmetic problems.</t>
    </r>
  </si>
  <si>
    <r>
      <t>P</t>
    </r>
    <r>
      <rPr>
        <sz val="10"/>
        <rFont val="Times New Roman"/>
        <family val="1"/>
      </rPr>
      <t>0006.2.4 Count to 20 by twos.</t>
    </r>
  </si>
  <si>
    <r>
      <t>P</t>
    </r>
    <r>
      <rPr>
        <sz val="10"/>
        <rFont val="Times New Roman"/>
        <family val="1"/>
      </rPr>
      <t>0006.3.2 Name, copy, and extend patterns.</t>
    </r>
  </si>
  <si>
    <t>GLE 0106.3.1 Identify, describe, and extend simple number patterns to develop strategies for adding and subtracting whole numbers.</t>
  </si>
  <si>
    <r>
      <t>P</t>
    </r>
    <r>
      <rPr>
        <sz val="10"/>
        <rFont val="Times New Roman"/>
        <family val="1"/>
      </rPr>
      <t>0106.3.2 Determine a reasonable next term in a given sequence and describe the rule.</t>
    </r>
  </si>
  <si>
    <r>
      <t>P</t>
    </r>
    <r>
      <rPr>
        <sz val="10"/>
        <rFont val="Times New Roman"/>
        <family val="1"/>
      </rPr>
      <t>0106.2.7 Develop fluency with addition and subtraction facts of sums through ten.</t>
    </r>
  </si>
  <si>
    <r>
      <t>P</t>
    </r>
    <r>
      <rPr>
        <sz val="10"/>
        <rFont val="Times New Roman"/>
        <family val="1"/>
      </rPr>
      <t>0106.2.14 Use composition and decomposition of numbers to identify and discuss patterns.</t>
    </r>
  </si>
  <si>
    <r>
      <t>P</t>
    </r>
    <r>
      <rPr>
        <sz val="10"/>
        <rFont val="Times New Roman"/>
        <family val="1"/>
      </rPr>
      <t>0106.2.8 Relate "counting on" and "counting back" to addition and subtraction and understand them as inverse operations.</t>
    </r>
  </si>
  <si>
    <r>
      <t>P</t>
    </r>
    <r>
      <rPr>
        <sz val="10"/>
        <rFont val="Times New Roman"/>
        <family val="1"/>
      </rPr>
      <t>0106.3.1 Find repeating patterns on the number line, addition table, and hundreds chart.</t>
    </r>
  </si>
  <si>
    <r>
      <t>P</t>
    </r>
    <r>
      <rPr>
        <sz val="10"/>
        <rFont val="Times New Roman"/>
        <family val="1"/>
      </rPr>
      <t>0106.2.4 Skip count by twos, fives, and tens.</t>
    </r>
  </si>
  <si>
    <r>
      <t>P</t>
    </r>
    <r>
      <rPr>
        <sz val="10"/>
        <rFont val="Times New Roman"/>
        <family val="1"/>
      </rPr>
      <t>0106.3.7 Use the inverse relation between addition and subtraction to check arithmetic problems.</t>
    </r>
  </si>
  <si>
    <r>
      <t>P</t>
    </r>
    <r>
      <rPr>
        <sz val="10"/>
        <rFont val="Times New Roman"/>
        <family val="1"/>
      </rPr>
      <t>0106.3.6 Use objects to demonstrate the inverse relationship between addition and subtraction.</t>
    </r>
  </si>
  <si>
    <r>
      <t>P</t>
    </r>
    <r>
      <rPr>
        <sz val="10"/>
        <rFont val="Times New Roman"/>
        <family val="1"/>
      </rPr>
      <t>0106.1.8 Recognize the "word clues" and mathematical symbols for addition and subtraction.</t>
    </r>
  </si>
  <si>
    <r>
      <t>P</t>
    </r>
    <r>
      <rPr>
        <sz val="10"/>
        <rFont val="Times New Roman"/>
        <family val="1"/>
      </rPr>
      <t>0106.3.5 Use various strategies to find unknowns in problems involving addition and subtraction.</t>
    </r>
  </si>
  <si>
    <t>GLE 0106.3.3 Extend the strategies for basic facts to include other properties of number and operations.</t>
  </si>
  <si>
    <t>CC.1.NBT.2 Understand that the two digits of a two-digit number represent amounts of tens and ones. Understand the following as special cases:</t>
  </si>
  <si>
    <r>
      <t>P</t>
    </r>
    <r>
      <rPr>
        <sz val="10"/>
        <rFont val="Times New Roman"/>
        <family val="1"/>
      </rPr>
      <t>0106.2.1 Read and write numerals up to 100.</t>
    </r>
  </si>
  <si>
    <r>
      <t>P</t>
    </r>
    <r>
      <rPr>
        <sz val="10"/>
        <rFont val="Times New Roman"/>
        <family val="1"/>
      </rPr>
      <t>0106.2.3 Count forward and backward by ones beginning with any number less than 100.</t>
    </r>
  </si>
  <si>
    <r>
      <t>P</t>
    </r>
    <r>
      <rPr>
        <sz val="10"/>
        <rFont val="Times New Roman"/>
        <family val="1"/>
      </rPr>
      <t>0106.2.6 Recognize the place value of numbers (tens, ones).</t>
    </r>
  </si>
  <si>
    <r>
      <t>P</t>
    </r>
    <r>
      <rPr>
        <sz val="10"/>
        <rFont val="Times New Roman"/>
        <family val="1"/>
      </rPr>
      <t>0106.2.5 Order and compare (less than, greater than, or equal to) whole numbers to 100.</t>
    </r>
  </si>
  <si>
    <t>GLE 0106.2.2 Compare and order whole numbers to 100.</t>
  </si>
  <si>
    <t>GLE 0106.2.1 Understand and use number notation and place value to 100.</t>
  </si>
  <si>
    <t>GLE 0106.2.4 Use multiple representations (including groups of ten) to model two-digit addition and subtraction.</t>
  </si>
  <si>
    <r>
      <t>P</t>
    </r>
    <r>
      <rPr>
        <sz val="10"/>
        <rFont val="Times New Roman"/>
        <family val="1"/>
      </rPr>
      <t>0106.2.15 Represent whole numbers between 10 and 100 in groups of tens and ones.</t>
    </r>
  </si>
  <si>
    <t>GLE 0106.1.1 Use mathematical language, symbols, and definitions while developing mathematical reasoning.</t>
  </si>
  <si>
    <r>
      <t>P</t>
    </r>
    <r>
      <rPr>
        <sz val="10"/>
        <rFont val="Times New Roman"/>
        <family val="1"/>
      </rPr>
      <t>0106.4.7 Understand and use comparative words such as long, longer, longest; short, shorter, shortest, tall, taller, tallest; high, higher, highest.</t>
    </r>
  </si>
  <si>
    <t>GLE 0106.4.3 Use non-standard units in linear measurement.</t>
  </si>
  <si>
    <r>
      <t>P</t>
    </r>
    <r>
      <rPr>
        <sz val="10"/>
        <rFont val="Times New Roman"/>
        <family val="1"/>
      </rPr>
      <t>0106.4.6 Recognize the essential role of units in measurement, and understand the difference between standard and non-standard units.</t>
    </r>
  </si>
  <si>
    <r>
      <t>P</t>
    </r>
    <r>
      <rPr>
        <sz val="10"/>
        <rFont val="Times New Roman"/>
        <family val="1"/>
      </rPr>
      <t>0106.1.2 Read and write time to the hour, half-hour, and quarter-hour.</t>
    </r>
  </si>
  <si>
    <r>
      <t>P</t>
    </r>
    <r>
      <rPr>
        <sz val="10"/>
        <rFont val="Times New Roman"/>
        <family val="1"/>
      </rPr>
      <t>0106.1.3 Compare units of time.</t>
    </r>
  </si>
  <si>
    <r>
      <t>P</t>
    </r>
    <r>
      <rPr>
        <sz val="10"/>
        <rFont val="Times New Roman"/>
        <family val="1"/>
      </rPr>
      <t>0106.1.4 Tell time to the hour/half-hour.</t>
    </r>
  </si>
  <si>
    <r>
      <t>P</t>
    </r>
    <r>
      <rPr>
        <sz val="10"/>
        <rFont val="Times New Roman"/>
        <family val="1"/>
      </rPr>
      <t>0106.5.3 Display data using appropriate titles and labels.</t>
    </r>
  </si>
  <si>
    <r>
      <t>P</t>
    </r>
    <r>
      <rPr>
        <sz val="10"/>
        <rFont val="Times New Roman"/>
        <family val="1"/>
      </rPr>
      <t>0106.5.4 Count and compare collected data.</t>
    </r>
  </si>
  <si>
    <r>
      <t>P</t>
    </r>
    <r>
      <rPr>
        <sz val="10"/>
        <rFont val="Times New Roman"/>
        <family val="1"/>
      </rPr>
      <t>0106.5.2 Represent data in both horizontal and vertical forms.</t>
    </r>
  </si>
  <si>
    <r>
      <t>P</t>
    </r>
    <r>
      <rPr>
        <sz val="10"/>
        <rFont val="Times New Roman"/>
        <family val="1"/>
      </rPr>
      <t>0106.5.1 Represent measurements and discrete data using concrete objects, picture graphs, and bar graphs.</t>
    </r>
  </si>
  <si>
    <t>GLE 0106.5.1 Use various representation to display and compare data.</t>
  </si>
  <si>
    <t>GLE 0106.1.5 Use mathematical ideas and processes indifferent settings to formulate patterns, analyze graphs, set up and solve problems, and interpret solutions.</t>
  </si>
  <si>
    <r>
      <t>P</t>
    </r>
    <r>
      <rPr>
        <sz val="10"/>
        <rFont val="Times New Roman"/>
        <family val="1"/>
      </rPr>
      <t>0106.4.1 Recognize and describe similarities and differences between two-dimensional figures (geometric attributes and properties).</t>
    </r>
  </si>
  <si>
    <r>
      <t>P</t>
    </r>
    <r>
      <rPr>
        <sz val="10"/>
        <rFont val="Times New Roman"/>
        <family val="1"/>
      </rPr>
      <t>0106.4.2 Recognize two- and three-dimensional figures from different perspectives and orientations.</t>
    </r>
  </si>
  <si>
    <r>
      <t>P</t>
    </r>
    <r>
      <rPr>
        <sz val="10"/>
        <rFont val="Times New Roman"/>
        <family val="1"/>
      </rPr>
      <t>0106.1.7 Apply spatial sense to recreate a figure from memory.</t>
    </r>
  </si>
  <si>
    <r>
      <t>P</t>
    </r>
    <r>
      <rPr>
        <sz val="10"/>
        <rFont val="Times New Roman"/>
        <family val="1"/>
      </rPr>
      <t>0206.4.7 Investigate and describe composition, decomposition, transformations of polygons.</t>
    </r>
  </si>
  <si>
    <t>GLE 0106.4.2 Compose and decompose geometric shapes.</t>
  </si>
  <si>
    <r>
      <t>P</t>
    </r>
    <r>
      <rPr>
        <sz val="10"/>
        <rFont val="Times New Roman"/>
        <family val="1"/>
      </rPr>
      <t>0106.4.3 Model part-whole relationships and properties of plane and solid figures by combining two or more shapes to make a larger shape or by breaking apart an object into its smaller shapes.</t>
    </r>
  </si>
  <si>
    <r>
      <t>P</t>
    </r>
    <r>
      <rPr>
        <sz val="10"/>
        <rFont val="Times New Roman"/>
        <family val="1"/>
      </rPr>
      <t>0106.2.11 Recognize the "part-whole" relationship in representations of basic fractions such as 1/2 and 1/4.</t>
    </r>
  </si>
  <si>
    <r>
      <t>P</t>
    </r>
    <r>
      <rPr>
        <sz val="10"/>
        <rFont val="Times New Roman"/>
        <family val="1"/>
      </rPr>
      <t>0106.4.4 Identify two-dimensional shapes as faces of three-dimensional figures.</t>
    </r>
  </si>
  <si>
    <t>GLE 0106.1.6 Read and interpret the language of mathematics and use written/oral communication to express mathematical ideas precisely.</t>
  </si>
  <si>
    <r>
      <t>P</t>
    </r>
    <r>
      <rPr>
        <sz val="10"/>
        <rFont val="Times New Roman"/>
        <family val="1"/>
      </rPr>
      <t>0106.2.13 Solve problems that require addition and subtraction of numbers through 100.</t>
    </r>
  </si>
  <si>
    <r>
      <t>P</t>
    </r>
    <r>
      <rPr>
        <sz val="10"/>
        <rFont val="Times New Roman"/>
        <family val="1"/>
      </rPr>
      <t>0106.4.5 Estimate and measure length using non-standard units (counting by using groups of tens and ones) to represent addition.</t>
    </r>
  </si>
  <si>
    <r>
      <t>P</t>
    </r>
    <r>
      <rPr>
        <sz val="10"/>
        <rFont val="Times New Roman"/>
        <family val="1"/>
      </rPr>
      <t>0206.4.3 Understand the property of transitivity as it relates to linear measurement (i.e., If A is longer than B, and B is longer than C, then A is longer than C).</t>
    </r>
  </si>
  <si>
    <r>
      <t>P</t>
    </r>
    <r>
      <rPr>
        <sz val="10"/>
        <rFont val="Times New Roman"/>
        <family val="1"/>
      </rPr>
      <t>0106.1.10 Match the spoken, written, concrete, and pictorial representation of whole numbers, one-half, and one-fourth.</t>
    </r>
  </si>
  <si>
    <r>
      <t>P</t>
    </r>
    <r>
      <rPr>
        <sz val="10"/>
        <rFont val="Times New Roman"/>
        <family val="1"/>
      </rPr>
      <t>0206.4.5 Use rulers to measure the lengths of sides and diagonals of common two-dimensional figures and polygons.</t>
    </r>
  </si>
  <si>
    <r>
      <t>P</t>
    </r>
    <r>
      <rPr>
        <sz val="10"/>
        <rFont val="Times New Roman"/>
        <family val="1"/>
      </rPr>
      <t>0206.4.6 Understand the inverse relationship between the size of a unit and the number of units used in a particular measurement (the smaller the unit, the more iterations needed to cover the length).</t>
    </r>
  </si>
  <si>
    <r>
      <t>P</t>
    </r>
    <r>
      <rPr>
        <sz val="10"/>
        <rFont val="Times New Roman"/>
        <family val="1"/>
      </rPr>
      <t>0206.1.10 Develop a story problem that illustrates a given addition or subtraction number sentence.</t>
    </r>
  </si>
  <si>
    <r>
      <t>P</t>
    </r>
    <r>
      <rPr>
        <sz val="10"/>
        <rFont val="Times New Roman"/>
        <family val="1"/>
      </rPr>
      <t>0206.3.7 Find unknowns in number sentences and problems involving addition, subtraction, and multiplication.</t>
    </r>
  </si>
  <si>
    <r>
      <t>P</t>
    </r>
    <r>
      <rPr>
        <sz val="10"/>
        <rFont val="Times New Roman"/>
        <family val="1"/>
      </rPr>
      <t>0206.1.12 Write numbers and translate word clues to number sentences and vice versa.</t>
    </r>
  </si>
  <si>
    <r>
      <t>P</t>
    </r>
    <r>
      <rPr>
        <sz val="10"/>
        <rFont val="Times New Roman"/>
        <family val="1"/>
      </rPr>
      <t>0206.2.11 Solve addition and subtraction problems in context using various representations.</t>
    </r>
  </si>
  <si>
    <t>GLE 0206.3.4 Describe quantitative change.</t>
  </si>
  <si>
    <t>GLE 0206.1.3 Develop independent reasoning to communicate mathematical ideas and derive algorithms and/or formulas.</t>
  </si>
  <si>
    <t>GLE 0206.3.3 Solve simple arithmetic problems using various methods.</t>
  </si>
  <si>
    <t>GLE 0206.1.1 Use mathematical language, symbols, and definitions while developing mathematical reasoning.</t>
  </si>
  <si>
    <r>
      <t>P</t>
    </r>
    <r>
      <rPr>
        <sz val="10"/>
        <rFont val="Times New Roman"/>
        <family val="1"/>
      </rPr>
      <t>0206.2.7 Develop fluency at recalling basic addition facts and related subtraction facts.</t>
    </r>
  </si>
  <si>
    <t>SPI 0806.4.3 Find measure of the angles formed by parallel lines cut by a transversal.</t>
  </si>
  <si>
    <t>SPI 0606.4.2 Use interior/exterior angles to find missing angles.</t>
  </si>
  <si>
    <r>
      <t>P</t>
    </r>
    <r>
      <rPr>
        <sz val="10"/>
        <rFont val="Times New Roman"/>
        <family val="1"/>
      </rPr>
      <t>0806.4.1 Model Pythagorean theorem.</t>
    </r>
  </si>
  <si>
    <r>
      <t>P</t>
    </r>
    <r>
      <rPr>
        <sz val="10"/>
        <rFont val="Times New Roman"/>
        <family val="1"/>
      </rPr>
      <t>0806.1.3 Research the contributions of Pythagoras to mathematics.</t>
    </r>
  </si>
  <si>
    <r>
      <t>P</t>
    </r>
    <r>
      <rPr>
        <sz val="10"/>
        <rFont val="Times New Roman"/>
        <family val="1"/>
      </rPr>
      <t>0806.4.2 Use the converse Pythagorean theorem to determine if a triangle is a right triangle.</t>
    </r>
  </si>
  <si>
    <t>SPI 0806.4.1 Use Pythagorean Theorem to find the missing angle measure.</t>
  </si>
  <si>
    <r>
      <t>P</t>
    </r>
    <r>
      <rPr>
        <sz val="10"/>
        <rFont val="Times New Roman"/>
        <family val="1"/>
      </rPr>
      <t>3102.4.3 Understand horizontal/vertical distance in a coordinate system as absolute value of the difference between coordinates; develop the distance formula for a coordinate plane using the Pythagorean Theorem.</t>
    </r>
  </si>
  <si>
    <t>SPI 0806.1.3 Calculate rates involving cost per unit to determine the best buy.</t>
  </si>
  <si>
    <r>
      <t>P</t>
    </r>
    <r>
      <rPr>
        <sz val="10"/>
        <rFont val="Times New Roman"/>
        <family val="1"/>
      </rPr>
      <t>3102.1.12 Create and work flexibly among representations of relations (including verbal, equations, tables, mappings, graphs).</t>
    </r>
  </si>
  <si>
    <r>
      <t>P</t>
    </r>
    <r>
      <rPr>
        <sz val="10"/>
        <rFont val="Times New Roman"/>
        <family val="1"/>
      </rPr>
      <t>3102.4.2 Use the Pythagorean Theorem to find the missing measure in a right triangle including those from contextual situations.</t>
    </r>
  </si>
  <si>
    <t>SPI 0806.4.2 Apply Pythagorean Theorem to find distances between points in the coordinate plane.</t>
  </si>
  <si>
    <r>
      <t>P</t>
    </r>
    <r>
      <rPr>
        <sz val="10"/>
        <rFont val="Times New Roman"/>
        <family val="1"/>
      </rPr>
      <t>0606.4.16 Solve contextual problems involving area/circumference of circles, surface areas.</t>
    </r>
  </si>
  <si>
    <r>
      <t>P</t>
    </r>
    <r>
      <rPr>
        <sz val="10"/>
        <rFont val="Times New Roman"/>
        <family val="1"/>
      </rPr>
      <t>0806.1.7 Use a graphing calculator or spreadsheet to create scatterplots of data and approximate lines of best fit.</t>
    </r>
  </si>
  <si>
    <r>
      <t>P</t>
    </r>
    <r>
      <rPr>
        <sz val="10"/>
        <rFont val="Times New Roman"/>
        <family val="1"/>
      </rPr>
      <t>0706.5.1 Create and interpret box-and-whisker plots, stem-and-leaf plots.</t>
    </r>
  </si>
  <si>
    <t>SPI 0806.5.4 Recognize misrepresentations of published data in the media.</t>
  </si>
  <si>
    <r>
      <t>P</t>
    </r>
    <r>
      <rPr>
        <sz val="10"/>
        <rFont val="Times New Roman"/>
        <family val="1"/>
      </rPr>
      <t>0806.5.5 Create and interpret box-and-whisker plots and scatterplots.</t>
    </r>
  </si>
  <si>
    <r>
      <t>P</t>
    </r>
    <r>
      <rPr>
        <sz val="10"/>
        <rFont val="Times New Roman"/>
        <family val="1"/>
      </rPr>
      <t>0806.5.7 Estimate lines of best fit to make and test conjectures.</t>
    </r>
  </si>
  <si>
    <r>
      <t>P</t>
    </r>
    <r>
      <rPr>
        <sz val="10"/>
        <rFont val="Times New Roman"/>
        <family val="1"/>
      </rPr>
      <t>0806.1.4 Relate data concepts to relevant concepts in the earth and space, life, and physical sciences.</t>
    </r>
  </si>
  <si>
    <t>SPI 0806.1.2 Interpret qualitative graph representing a contextual situation.</t>
  </si>
  <si>
    <r>
      <t>P</t>
    </r>
    <r>
      <rPr>
        <sz val="10"/>
        <rFont val="Times New Roman"/>
        <family val="1"/>
      </rPr>
      <t>0506.5.4 Recognize the differences in representing categorical and numerical data.</t>
    </r>
  </si>
  <si>
    <r>
      <t>P</t>
    </r>
    <r>
      <rPr>
        <sz val="10"/>
        <rFont val="Times New Roman"/>
        <family val="1"/>
      </rPr>
      <t>0806.5.8 Consider source to evaluate statistics.</t>
    </r>
  </si>
  <si>
    <t>All</t>
  </si>
  <si>
    <t>SPI 0706.1.2 Generalize a varietyof patterns to a symbolic rule from tables, graphs, words.</t>
  </si>
  <si>
    <r>
      <t>P</t>
    </r>
    <r>
      <rPr>
        <sz val="10"/>
        <rFont val="Times New Roman"/>
        <family val="1"/>
      </rPr>
      <t>0806.5.4 Explain benefits and limitations of various representations.</t>
    </r>
  </si>
  <si>
    <r>
      <t>P</t>
    </r>
    <r>
      <rPr>
        <sz val="10"/>
        <rFont val="Times New Roman"/>
        <family val="1"/>
      </rPr>
      <t>0806.1.5 Use age-appropriate books, stories, videos to convey ideas of mathematics.</t>
    </r>
  </si>
  <si>
    <r>
      <t>P</t>
    </r>
    <r>
      <rPr>
        <sz val="10"/>
        <rFont val="Times New Roman"/>
        <family val="1"/>
      </rPr>
      <t>0806.3.13 Use symbolic algebra.</t>
    </r>
  </si>
  <si>
    <t>6 Weeks Taught</t>
  </si>
  <si>
    <t>CC.6.SP.5 Summarize numerical data sets in relation to their context, such as by:
  --  a. Reporting the number of observations.   
  --  b. Describing the nature of the attribute under investigation, including how it was measured and its units of measurement. 
  --  c. Giving quantitative measures of center (median and/or mean) and variability (interquartile range and/or mean absolute deviation), as well as describing any overall pattern and any striking deviations from the overall pattern with reference to the context in which the data was gathered. 
  --  d. Relating the choice of measures of center and variability to the shape of the data distribution and the context in which the data was gathered.</t>
  </si>
  <si>
    <r>
      <t>CC.6.EE.2c Evaluate expressions at specific values for their variables. Include expressions that arise from formulas in real-world problems. Perform arithmetic operations, including those involving whole-number exponents, in the conventional order when there are no parentheses to specify a particular order (Order of Operations). For example, use the formulas V = s</t>
    </r>
    <r>
      <rPr>
        <vertAlign val="superscript"/>
        <sz val="10"/>
        <rFont val="Times New Roman"/>
        <family val="1"/>
      </rPr>
      <t>3</t>
    </r>
    <r>
      <rPr>
        <sz val="10"/>
        <rFont val="Times New Roman"/>
        <family val="1"/>
      </rPr>
      <t xml:space="preserve"> and A = 6 s</t>
    </r>
    <r>
      <rPr>
        <vertAlign val="superscript"/>
        <sz val="10"/>
        <rFont val="Times New Roman"/>
        <family val="1"/>
      </rPr>
      <t>2</t>
    </r>
    <r>
      <rPr>
        <sz val="10"/>
        <rFont val="Times New Roman"/>
        <family val="1"/>
      </rPr>
      <t xml:space="preserve"> to find the volume and surface area of a cube with sides of length s = 1/2.</t>
    </r>
  </si>
  <si>
    <r>
      <t>P</t>
    </r>
    <r>
      <rPr>
        <sz val="10"/>
        <rFont val="Times New Roman"/>
        <family val="1"/>
      </rPr>
      <t>0706.2.1 Rational numbers written as ratio, denominator not equal to zero.</t>
    </r>
  </si>
  <si>
    <r>
      <t>P</t>
    </r>
    <r>
      <rPr>
        <sz val="10"/>
        <rFont val="Times New Roman"/>
        <family val="1"/>
      </rPr>
      <t>0606.2.5 Recognize different notations for ratios.</t>
    </r>
  </si>
  <si>
    <r>
      <t>P</t>
    </r>
    <r>
      <rPr>
        <sz val="10"/>
        <rFont val="Times New Roman"/>
        <family val="1"/>
      </rPr>
      <t>0606.5.8 Connect data sets and their graphical representations.</t>
    </r>
  </si>
  <si>
    <t>SPI 0606.2.6 Solve problems involving ratios, rates, and percents.</t>
  </si>
  <si>
    <r>
      <t>P</t>
    </r>
    <r>
      <rPr>
        <sz val="10"/>
        <rFont val="Times New Roman"/>
        <family val="1"/>
      </rPr>
      <t>0606.2.7 Connect ratio and rate to multiplication and division.</t>
    </r>
  </si>
  <si>
    <t>SPI 0706.2.6 Express the ratio s a percent and a percent as a ratio/ fraction.</t>
  </si>
  <si>
    <t>SPI 0806.4.4 Convert between customary and metric.</t>
  </si>
  <si>
    <t>SPI 0606.2.1 and SPI 0606.2.2 Addition, subtraction, multiplication, division of mixed numbers and fractions.</t>
  </si>
  <si>
    <r>
      <t>P</t>
    </r>
    <r>
      <rPr>
        <sz val="10"/>
        <rFont val="Times New Roman"/>
        <family val="1"/>
      </rPr>
      <t>0606.2.3 Create and solve contextual problems that lead naturally to division of fractions.</t>
    </r>
  </si>
  <si>
    <t>SPI 0606.2.4 Solve multi-step problems using fractions and mixed numbers.</t>
  </si>
  <si>
    <t>SPI 0606.2.3 Addition, subtraction, multiplication, and division of decimals.</t>
  </si>
  <si>
    <t>SPI 0606.2.4 Multi-step problems using fractions, mixed numbers, decimals.</t>
  </si>
  <si>
    <r>
      <t>P</t>
    </r>
    <r>
      <rPr>
        <sz val="10"/>
        <rFont val="Times New Roman"/>
        <family val="1"/>
      </rPr>
      <t>0506.2.2 Use the prime factorization of two whole numbers to determine the greatest common factor and least common multiple.</t>
    </r>
  </si>
  <si>
    <r>
      <t>P</t>
    </r>
    <r>
      <rPr>
        <sz val="10"/>
        <rFont val="Times New Roman"/>
        <family val="1"/>
      </rPr>
      <t>0706.1.1 Recognize common abbreviations (such as gcd/gcf/lcm).</t>
    </r>
  </si>
  <si>
    <r>
      <t>P</t>
    </r>
    <r>
      <rPr>
        <sz val="10"/>
        <rFont val="Times New Roman"/>
        <family val="1"/>
      </rPr>
      <t>0606.1.6 Model situations by using experiments and simulations.</t>
    </r>
  </si>
  <si>
    <r>
      <t>P</t>
    </r>
    <r>
      <rPr>
        <sz val="10"/>
        <rFont val="Times New Roman"/>
        <family val="1"/>
      </rPr>
      <t>0606.1.1 Different conventions in calculator and spreadsheet.</t>
    </r>
  </si>
  <si>
    <t>SPI 0606.1.3 Use concrete, pictorial, and symbolic representation for integers.</t>
  </si>
  <si>
    <r>
      <t>P</t>
    </r>
    <r>
      <rPr>
        <sz val="10"/>
        <rFont val="Times New Roman"/>
        <family val="1"/>
      </rPr>
      <t>0606.2.10 Explore contexts that can be described with negative numbers.</t>
    </r>
  </si>
  <si>
    <r>
      <t>P</t>
    </r>
    <r>
      <rPr>
        <sz val="10"/>
        <rFont val="Times New Roman"/>
        <family val="1"/>
      </rPr>
      <t>0606.2.4 Understand ratio as a fraction use to compare two quantities by division.</t>
    </r>
  </si>
  <si>
    <t>SPI 0606.2.1 Solve problems involving division of fractions.</t>
  </si>
  <si>
    <r>
      <t>P</t>
    </r>
    <r>
      <rPr>
        <sz val="10"/>
        <rFont val="Times New Roman"/>
        <family val="1"/>
      </rPr>
      <t>0506.2.9 Explore numbers less than 0 by extending the number line through familiar applications (e.g., temperatures below zero, owing money, measuring elevation below sea level).</t>
    </r>
  </si>
  <si>
    <r>
      <t>P</t>
    </r>
    <r>
      <rPr>
        <sz val="10"/>
        <rFont val="Times New Roman"/>
        <family val="1"/>
      </rPr>
      <t>0606.3.11 Identify quadrant in which a point lies.</t>
    </r>
  </si>
  <si>
    <r>
      <t>P</t>
    </r>
    <r>
      <rPr>
        <sz val="10"/>
        <rFont val="Times New Roman"/>
        <family val="1"/>
      </rPr>
      <t>0606.3.10 Understand that x is horizontal and y is vertical.</t>
    </r>
  </si>
  <si>
    <r>
      <t>P</t>
    </r>
    <r>
      <rPr>
        <sz val="10"/>
        <rFont val="Times New Roman"/>
        <family val="1"/>
      </rPr>
      <t>0406.4.14 Explain how the components of a coordinate system are used to determine location.</t>
    </r>
  </si>
  <si>
    <t>SPI 0606.2.8 Locate integers on the number line.</t>
  </si>
  <si>
    <t>SPI 0606.2.7 Locate positive rational numbers on number line.</t>
  </si>
  <si>
    <r>
      <t>P</t>
    </r>
    <r>
      <rPr>
        <sz val="10"/>
        <rFont val="Times New Roman"/>
        <family val="1"/>
      </rPr>
      <t>0606.2.1 Compare and order fractions, decimals, and percents; determine location on number line.</t>
    </r>
  </si>
  <si>
    <t>SPI 0606.3.9 Graph ordered pairs in all four quadrants.</t>
  </si>
  <si>
    <r>
      <t>P</t>
    </r>
    <r>
      <rPr>
        <sz val="10"/>
        <rFont val="Times New Roman"/>
        <family val="1"/>
      </rPr>
      <t>0606.1.11 Model algebraic expressions with manipulatives, technology, and pencil and paper.</t>
    </r>
  </si>
  <si>
    <t>SPI 0606.3.5 Translate between verbal and algebraic expressions/ equations.</t>
  </si>
  <si>
    <t>SPI 0706.2.1 Simplify numerical expressions involving rational numbers.</t>
  </si>
  <si>
    <r>
      <t>P</t>
    </r>
    <r>
      <rPr>
        <sz val="10"/>
        <rFont val="Times New Roman"/>
        <family val="1"/>
      </rPr>
      <t>3102.2.1 Recognize and use like terms to simplify expressions.</t>
    </r>
  </si>
  <si>
    <r>
      <t>P</t>
    </r>
    <r>
      <rPr>
        <sz val="10"/>
        <rFont val="Times New Roman"/>
        <family val="1"/>
      </rPr>
      <t>0706.1.10 Model algebraic equations with manipulatives, etc.</t>
    </r>
  </si>
  <si>
    <t>SPI 3102.1.3 Apply properties to evaluate expressions, simplify expressions, and justify solutions to problems.</t>
  </si>
  <si>
    <r>
      <t>P</t>
    </r>
    <r>
      <rPr>
        <sz val="10"/>
        <rFont val="Times New Roman"/>
        <family val="1"/>
      </rPr>
      <t>3102.2.2 Apply the order of operations to simplify and evaluate algebraic expressions.</t>
    </r>
  </si>
  <si>
    <r>
      <t>P</t>
    </r>
    <r>
      <rPr>
        <sz val="10"/>
        <rFont val="Times New Roman"/>
        <family val="1"/>
      </rPr>
      <t>0606.1.5 Select representation that models properties.</t>
    </r>
  </si>
  <si>
    <t>SPI 0606.1.4 Illustrate properties: commutative, associative, distributive.</t>
  </si>
  <si>
    <r>
      <t>P</t>
    </r>
    <r>
      <rPr>
        <sz val="10"/>
        <rFont val="Times New Roman"/>
        <family val="1"/>
      </rPr>
      <t>0606.3.7 Move fluently between different representations of equations or expressions.</t>
    </r>
  </si>
  <si>
    <r>
      <t>P</t>
    </r>
    <r>
      <rPr>
        <sz val="10"/>
        <rFont val="Times New Roman"/>
        <family val="1"/>
      </rPr>
      <t>0606.3.5 Use properties to show that two expressions are equal.</t>
    </r>
  </si>
  <si>
    <t>SPI 0606.3.4 Rewrite expressions to represent quantities in different ways.</t>
  </si>
  <si>
    <t>SPI 0506.3.4 Given a set of values, identify those that make an inequality a true statement.</t>
  </si>
  <si>
    <t>SPI 0806.1.1 Solve problems involving rate/time/distance (i.e., d=rt).</t>
  </si>
  <si>
    <r>
      <t>P</t>
    </r>
    <r>
      <rPr>
        <sz val="10"/>
        <rFont val="Times New Roman"/>
        <family val="1"/>
      </rPr>
      <t>0506.3.5 Determine if a given value is a solution to a linear equation/inequality.</t>
    </r>
  </si>
  <si>
    <r>
      <t>P</t>
    </r>
    <r>
      <rPr>
        <sz val="10"/>
        <rFont val="Times New Roman"/>
        <family val="1"/>
      </rPr>
      <t>0506.3.2 Use variables appropriately to represent numbers whose values are not yet known.</t>
    </r>
  </si>
  <si>
    <t>SPI 0606.3.3 Write equations that correspond to given situations.</t>
  </si>
  <si>
    <r>
      <t>P</t>
    </r>
    <r>
      <rPr>
        <sz val="10"/>
        <rFont val="Times New Roman"/>
        <family val="1"/>
      </rPr>
      <t>0506.3.4 Solve single step linear inequalities and graph solutions on a number line.</t>
    </r>
  </si>
  <si>
    <r>
      <t>P</t>
    </r>
    <r>
      <rPr>
        <sz val="10"/>
        <rFont val="Times New Roman"/>
        <family val="1"/>
      </rPr>
      <t>0606.3.3 Recognize the use of juxtaposition.</t>
    </r>
  </si>
  <si>
    <t>SPI 0606.3.1 Represent inequalities on a number line.</t>
  </si>
  <si>
    <t>SPI 0706.2.2 Compare rational numbers using inequality symbols.</t>
  </si>
  <si>
    <r>
      <t>P</t>
    </r>
    <r>
      <rPr>
        <sz val="10"/>
        <rFont val="Times New Roman"/>
        <family val="1"/>
      </rPr>
      <t>0606.3.2 Write and solve one-step inequalities (non negative).</t>
    </r>
  </si>
  <si>
    <r>
      <t>P</t>
    </r>
    <r>
      <rPr>
        <sz val="10"/>
        <rFont val="Times New Roman"/>
        <family val="1"/>
      </rPr>
      <t>0606.3.6 Use equations to describe simple relationships shown in a table or graph.</t>
    </r>
  </si>
  <si>
    <r>
      <t>P</t>
    </r>
    <r>
      <rPr>
        <sz val="10"/>
        <rFont val="Times New Roman"/>
        <family val="1"/>
      </rPr>
      <t>0606.3.4 Generate data and graph relationships.</t>
    </r>
  </si>
  <si>
    <r>
      <t>P</t>
    </r>
    <r>
      <rPr>
        <sz val="10"/>
        <rFont val="Times New Roman"/>
        <family val="1"/>
      </rPr>
      <t>0506.4.2 Find the area of a convex polygon by decomposing it into triangles/rectangles.</t>
    </r>
  </si>
  <si>
    <r>
      <t>P</t>
    </r>
    <r>
      <rPr>
        <sz val="10"/>
        <rFont val="Times New Roman"/>
        <family val="1"/>
      </rPr>
      <t>0606.4.14 Relate area of trapezoid to area of parallelogram.</t>
    </r>
  </si>
  <si>
    <t>SPI 0506.4.2 Decompose irregular shapes to find perimeter and area.</t>
  </si>
  <si>
    <r>
      <t>P</t>
    </r>
    <r>
      <rPr>
        <sz val="10"/>
        <rFont val="Times New Roman"/>
        <family val="1"/>
      </rPr>
      <t>0606.1.10 Use various methods to explore properties of triangles and quadrilaterals.</t>
    </r>
  </si>
  <si>
    <r>
      <t>P</t>
    </r>
    <r>
      <rPr>
        <sz val="10"/>
        <rFont val="Times New Roman"/>
        <family val="1"/>
      </rPr>
      <t>0506.4.1 Develop the formula for the area of a triangle as it relates to the area of a parallelogram/rectangle.</t>
    </r>
  </si>
  <si>
    <t>SPI 0506.4.1 Solve contextual problems that require calculating the area of triangles and parallelograms.</t>
  </si>
  <si>
    <t>SPI 0606.4.6 Given the volume of a cone/pyramid, find the volume of the related cylinder/prism or vice versa.</t>
  </si>
  <si>
    <r>
      <t>P</t>
    </r>
    <r>
      <rPr>
        <sz val="10"/>
        <rFont val="Times New Roman"/>
        <family val="1"/>
      </rPr>
      <t>0606.4.15 Find lengths given areas or volumes and vice versa.</t>
    </r>
  </si>
  <si>
    <r>
      <t>P</t>
    </r>
    <r>
      <rPr>
        <sz val="10"/>
        <rFont val="Times New Roman"/>
        <family val="1"/>
      </rPr>
      <t>0606.4.17 Use manipulatives to discover the volume of a pyramid is 1/3 the volume of prism.</t>
    </r>
  </si>
  <si>
    <r>
      <t>P</t>
    </r>
    <r>
      <rPr>
        <sz val="10"/>
        <rFont val="Times New Roman"/>
        <family val="1"/>
      </rPr>
      <t>0806.4.8 Build, draw, and work with two- and three-dimensional figures by means of orthogonal views, projective views, and/or nets.</t>
    </r>
  </si>
  <si>
    <r>
      <t>P</t>
    </r>
    <r>
      <rPr>
        <sz val="10"/>
        <rFont val="Times New Roman"/>
        <family val="1"/>
      </rPr>
      <t>0506.4.3 Build, draw, and work with prisms by means of orthogonal views, projective views, and nets.</t>
    </r>
  </si>
  <si>
    <r>
      <t>P</t>
    </r>
    <r>
      <rPr>
        <sz val="10"/>
        <rFont val="Times New Roman"/>
        <family val="1"/>
      </rPr>
      <t>0506.4.4 Describe and identify the five regular (Platonic) solids and their properties with respect to faces, shapes of faces, edges, and vertices.</t>
    </r>
  </si>
  <si>
    <t>SPI 0506.4.3 Identify a three-dimensional object from two-dimensional representations of that object and vice versa.</t>
  </si>
  <si>
    <r>
      <t>P</t>
    </r>
    <r>
      <rPr>
        <sz val="10"/>
        <rFont val="Times New Roman"/>
        <family val="1"/>
      </rPr>
      <t>0506.5.5 Evaluate how different measures of central tendency describe data.</t>
    </r>
  </si>
  <si>
    <t>SPI 0606.5.3 Calculate central tendency to analyze data.</t>
  </si>
  <si>
    <r>
      <t>P</t>
    </r>
    <r>
      <rPr>
        <sz val="10"/>
        <rFont val="Times New Roman"/>
        <family val="1"/>
      </rPr>
      <t>0606.5.11 Select appropriate measure of central tendency.</t>
    </r>
  </si>
  <si>
    <t>SPI 0506.5.3 Calculate measures of central tendency to analyze data.</t>
  </si>
  <si>
    <r>
      <t>P</t>
    </r>
    <r>
      <rPr>
        <sz val="10"/>
        <rFont val="Times New Roman"/>
        <family val="1"/>
      </rPr>
      <t>0706.5.6 Apply percentages to make and interpret histograms and circle graphs.</t>
    </r>
  </si>
  <si>
    <t>SPI 0706.5.2 Select suitable graph types and use to create accurate representations of given data.</t>
  </si>
  <si>
    <r>
      <t>P</t>
    </r>
    <r>
      <rPr>
        <sz val="10"/>
        <rFont val="Times New Roman"/>
        <family val="1"/>
      </rPr>
      <t>3102.5.1 Identify patterns or trends in data.</t>
    </r>
  </si>
  <si>
    <r>
      <t>P</t>
    </r>
    <r>
      <rPr>
        <sz val="10"/>
        <rFont val="Times New Roman"/>
        <family val="1"/>
      </rPr>
      <t>0506.5.6 Identify outliers and determine their effect on mean, median, mode, and range.</t>
    </r>
  </si>
  <si>
    <r>
      <t>P</t>
    </r>
    <r>
      <rPr>
        <sz val="10"/>
        <rFont val="Times New Roman"/>
        <family val="1"/>
      </rPr>
      <t>0706.1.9 Use books, stories, and videos to convey ideas of mathematics.</t>
    </r>
  </si>
  <si>
    <r>
      <t>P</t>
    </r>
    <r>
      <rPr>
        <sz val="10"/>
        <rFont val="Times New Roman"/>
        <family val="1"/>
      </rPr>
      <t>0706.3.2 Represent and analyze math situation using algebraic symbols.</t>
    </r>
  </si>
  <si>
    <t>RP-All</t>
  </si>
  <si>
    <t>SPI 0706.2.7 Use ratios and proportions to solve problems.</t>
  </si>
  <si>
    <r>
      <t>P</t>
    </r>
    <r>
      <rPr>
        <sz val="10"/>
        <rFont val="Times New Roman"/>
        <family val="1"/>
      </rPr>
      <t>0706.3.10 Solve problems involving unit rates.</t>
    </r>
  </si>
  <si>
    <r>
      <t>P</t>
    </r>
    <r>
      <rPr>
        <sz val="10"/>
        <rFont val="Times New Roman"/>
        <family val="1"/>
      </rPr>
      <t>0706.4.5 Solve problems using ratio quantities: velocity (measure in units such as miles per hour), density (measured in units such as kilograms per liter), pressure (measured in units such as pounds per square foot), and population density (measured in units such as persons per square mile).</t>
    </r>
  </si>
  <si>
    <r>
      <t>P</t>
    </r>
    <r>
      <rPr>
        <sz val="10"/>
        <rFont val="Times New Roman"/>
        <family val="1"/>
      </rPr>
      <t>0706.3.11 Relate features of linear equation to a table/graph of the equation.</t>
    </r>
  </si>
  <si>
    <r>
      <t>P</t>
    </r>
    <r>
      <rPr>
        <sz val="10"/>
        <rFont val="Times New Roman"/>
        <family val="1"/>
      </rPr>
      <t>0706.3.5 Plot points to represent tables of linear function values.</t>
    </r>
  </si>
  <si>
    <r>
      <t>P</t>
    </r>
    <r>
      <rPr>
        <sz val="10"/>
        <rFont val="Times New Roman"/>
        <family val="1"/>
      </rPr>
      <t>0706.3.6 Graph of linear function (x, f(x)).</t>
    </r>
  </si>
  <si>
    <t>SPI 0706.5.1 Interpret and employ various graphs and charts to represent data.</t>
  </si>
  <si>
    <t>SPI 0706.1.3 Direct proportion, linear, inverse, nonlinear relationship.</t>
  </si>
  <si>
    <r>
      <t>P</t>
    </r>
    <r>
      <rPr>
        <sz val="10"/>
        <rFont val="Times New Roman"/>
        <family val="1"/>
      </rPr>
      <t>0706.1.4 Recognize quantities that are inversely proportional.</t>
    </r>
  </si>
  <si>
    <t>SPI 0706.3.5 Represent proportional relationships with equations, tables, and graphs.</t>
  </si>
  <si>
    <r>
      <t>P</t>
    </r>
    <r>
      <rPr>
        <sz val="10"/>
        <rFont val="Times New Roman"/>
        <family val="1"/>
      </rPr>
      <t>0706.3.7 Distinguish proportional relationships (y/x = k, or y = kx) from other relationships, including inverse (xy = k, y = k/x).</t>
    </r>
  </si>
  <si>
    <r>
      <t>P</t>
    </r>
    <r>
      <rPr>
        <sz val="10"/>
        <rFont val="Times New Roman"/>
        <family val="1"/>
      </rPr>
      <t>0706.3.8 Slope equals vertical change over horizontal change.</t>
    </r>
  </si>
  <si>
    <r>
      <t>P</t>
    </r>
    <r>
      <rPr>
        <sz val="10"/>
        <rFont val="Times New Roman"/>
        <family val="1"/>
      </rPr>
      <t xml:space="preserve">0706.5.1 </t>
    </r>
  </si>
  <si>
    <r>
      <t>P</t>
    </r>
    <r>
      <rPr>
        <sz val="10"/>
        <rFont val="Times New Roman"/>
        <family val="1"/>
      </rPr>
      <t>0706.5.2 Interpret and solve problems using information presented in various visual forms.</t>
    </r>
  </si>
  <si>
    <r>
      <t>P</t>
    </r>
    <r>
      <rPr>
        <sz val="10"/>
        <rFont val="Times New Roman"/>
        <family val="1"/>
      </rPr>
      <t>0606.1.4 Describe how changes in one quantity or variable result in changes in another.</t>
    </r>
  </si>
  <si>
    <r>
      <t>P</t>
    </r>
    <r>
      <rPr>
        <sz val="10"/>
        <rFont val="Times New Roman"/>
        <family val="1"/>
      </rPr>
      <t>0706.1.5 Understand that a linear function in which f(0) = 0 is called a directly proportional relationship.</t>
    </r>
  </si>
  <si>
    <t>SPI 0706.3.4 Interpret the slope of a line as a unit rate given the graph.</t>
  </si>
  <si>
    <r>
      <t>P</t>
    </r>
    <r>
      <rPr>
        <sz val="10"/>
        <rFont val="Times New Roman"/>
        <family val="1"/>
      </rPr>
      <t>0706.3.9 Identify a function with constant rate of change as linear and slope is unit rate.</t>
    </r>
  </si>
  <si>
    <r>
      <t>P</t>
    </r>
    <r>
      <rPr>
        <sz val="10"/>
        <rFont val="Times New Roman"/>
        <family val="1"/>
      </rPr>
      <t>0606.1.9 Use age appropriate books, stories, and v videos to convey mathematical ideas.</t>
    </r>
  </si>
  <si>
    <t>SPI 0606.2.2 Solve problems involving division of mixed numbers.</t>
  </si>
  <si>
    <r>
      <t>P</t>
    </r>
    <r>
      <rPr>
        <sz val="10"/>
        <rFont val="Times New Roman"/>
        <family val="1"/>
      </rPr>
      <t>0706.2.6 Add/subtract integers in number line.</t>
    </r>
  </si>
  <si>
    <r>
      <t>P</t>
    </r>
    <r>
      <rPr>
        <sz val="10"/>
        <rFont val="Times New Roman"/>
        <family val="1"/>
      </rPr>
      <t>0706.2.4 Additive inverses, number line, absolute value.</t>
    </r>
  </si>
  <si>
    <r>
      <t>P</t>
    </r>
    <r>
      <rPr>
        <sz val="10"/>
        <rFont val="Times New Roman"/>
        <family val="1"/>
      </rPr>
      <t>0706.2.3 Recognize that rational numbers satisfy properties.</t>
    </r>
  </si>
  <si>
    <t>SPI 0506.2.8 Write terminating decimals in the form of fractions or mixed numbers.</t>
  </si>
  <si>
    <t>SPI 0706.2.5 Solve contextual problems that involve operations with integers.</t>
  </si>
  <si>
    <t>CC.7.SP.8 Find probabilities of compound events using organized lists, tables, tree diagrams, and simulation.</t>
  </si>
  <si>
    <t>CC.7.SP.8a Understand that, just as with simple events, the probability of a compound event is the fraction of outcomes in the sample space for which the compound event occurs.</t>
  </si>
  <si>
    <t>CC.7.SP.8b Represent sample spaces for compound events using methods such as organized lists, tables and tree diagrams. For an event described in everyday language (e.g., “rolling double sixes”), identify the outcomes in the sample space which compose the event.</t>
  </si>
  <si>
    <t>CC.7.SP.8c Design and use a simulation to generate frequencies for compound events.  For example, use random digits as a simulation tool to approximate the answer to the question: If 40% of donors have type A blood, what is the probability that it will take at least 4 donors to find one with type A blood?</t>
  </si>
  <si>
    <t>SP</t>
  </si>
  <si>
    <t xml:space="preserve">7th Grade </t>
  </si>
  <si>
    <t xml:space="preserve">8th Grade </t>
  </si>
  <si>
    <t>CC.8.NS.1 Know that numbers that are not rational are called irrational. Understand informally that every number has a decimal expansion; for rational numbers show that the decimal expansion repeats eventually, and convert a decimal expansion which repeats eventually into a rational number.</t>
  </si>
  <si>
    <t>CC.8.NS.2 Use rational approximations of irrational numbers to compare the size of irrational numbers, locate them approximately on a number line diagram, and estimate the value of expressions (e.g., π^2). For example, by truncating the decimal expansion of √2 (square root of 2), show that √2 is between 1 and 2, then between 1.4 and 1.5, and explain how to continue on to get better approximations.</t>
  </si>
  <si>
    <t>CC.8.EE.4 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</si>
  <si>
    <t>CC.8.EE.5 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</si>
  <si>
    <t>CC.8.EE.6 Use similar triangles to explain why the slope m is the same between any two distinct points on a non-vertical line in the coordinate plane; derive the equation y =mx for a line through the origin and the equation y = mx + b for a line intercepting the vertical axis at b.</t>
  </si>
  <si>
    <t>CC.8.EE.7 Solve linear equations in one variable.</t>
  </si>
</sst>
</file>

<file path=xl/styles.xml><?xml version="1.0" encoding="utf-8"?>
<styleSheet xmlns="http://schemas.openxmlformats.org/spreadsheetml/2006/main">
  <fonts count="7">
    <font>
      <sz val="10"/>
      <name val="Arial"/>
    </font>
    <font>
      <sz val="8"/>
      <name val="Arial"/>
    </font>
    <font>
      <sz val="10"/>
      <name val="Times New Roman"/>
      <family val="1"/>
    </font>
    <font>
      <vertAlign val="superscript"/>
      <sz val="10"/>
      <name val="Times New Roman"/>
      <family val="1"/>
    </font>
    <font>
      <b/>
      <sz val="14"/>
      <name val="Times New Roman"/>
      <family val="1"/>
    </font>
    <font>
      <b/>
      <sz val="10"/>
      <name val="Times New Roman"/>
      <family val="1"/>
    </font>
    <font>
      <sz val="10"/>
      <name val="Wingdings 2"/>
      <family val="1"/>
      <charset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horizontal="center" vertical="top"/>
    </xf>
    <xf numFmtId="0" fontId="4" fillId="0" borderId="1" xfId="0" applyFont="1" applyBorder="1" applyAlignment="1">
      <alignment horizontal="centerContinuous" vertical="top"/>
    </xf>
    <xf numFmtId="0" fontId="2" fillId="0" borderId="1" xfId="0" applyFont="1" applyBorder="1" applyAlignment="1">
      <alignment horizontal="centerContinuous" vertical="top"/>
    </xf>
    <xf numFmtId="0" fontId="2" fillId="0" borderId="1" xfId="0" applyFont="1" applyBorder="1" applyAlignment="1">
      <alignment horizontal="centerContinuous" vertical="top" wrapText="1"/>
    </xf>
    <xf numFmtId="0" fontId="2" fillId="0" borderId="1" xfId="0" applyFont="1" applyBorder="1"/>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NumberFormat="1" applyFont="1" applyBorder="1" applyAlignment="1">
      <alignment wrapText="1"/>
    </xf>
    <xf numFmtId="0" fontId="6" fillId="0" borderId="1" xfId="0" applyFont="1" applyBorder="1" applyAlignment="1">
      <alignment vertical="center" wrapText="1"/>
    </xf>
    <xf numFmtId="0" fontId="2" fillId="0" borderId="1" xfId="0" applyFont="1" applyBorder="1" applyAlignment="1">
      <alignment horizontal="centerContinuous" vertical="center" wrapText="1"/>
    </xf>
    <xf numFmtId="0" fontId="6" fillId="0" borderId="1" xfId="0" applyFont="1" applyBorder="1" applyAlignment="1">
      <alignment vertical="top" wrapText="1"/>
    </xf>
    <xf numFmtId="0"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horizontal="center"/>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Continuous" vertical="top" wrapText="1"/>
    </xf>
    <xf numFmtId="49" fontId="5" fillId="0" borderId="1" xfId="0" applyNumberFormat="1" applyFont="1" applyBorder="1" applyAlignment="1">
      <alignment horizontal="center" vertical="center" wrapText="1"/>
    </xf>
    <xf numFmtId="49" fontId="2" fillId="0" borderId="1" xfId="0" applyNumberFormat="1" applyFont="1" applyBorder="1" applyAlignment="1">
      <alignment vertical="top" wrapText="1"/>
    </xf>
    <xf numFmtId="0" fontId="4" fillId="0" borderId="1" xfId="0" applyFont="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2" enableFormatConditionsCalculation="0">
    <tabColor indexed="46"/>
  </sheetPr>
  <dimension ref="A1:G156"/>
  <sheetViews>
    <sheetView zoomScaleNormal="100" zoomScaleSheetLayoutView="100" workbookViewId="0">
      <selection activeCell="B3" sqref="B3"/>
    </sheetView>
  </sheetViews>
  <sheetFormatPr defaultRowHeight="12.75"/>
  <cols>
    <col min="1" max="1" width="8.42578125" style="1" customWidth="1"/>
    <col min="2" max="2" width="8" style="4" bestFit="1" customWidth="1"/>
    <col min="3" max="4" width="48.7109375" style="2" customWidth="1"/>
    <col min="5" max="5" width="51" style="1" customWidth="1"/>
    <col min="6" max="6" width="6.42578125" style="4" bestFit="1" customWidth="1"/>
    <col min="7" max="7" width="11" style="2" customWidth="1"/>
    <col min="8" max="16384" width="9.140625" style="8"/>
  </cols>
  <sheetData>
    <row r="1" spans="1:7" ht="18.75">
      <c r="A1" s="33" t="s">
        <v>760</v>
      </c>
      <c r="B1" s="33"/>
      <c r="C1" s="33"/>
      <c r="D1" s="33"/>
      <c r="E1" s="33"/>
      <c r="F1" s="33"/>
      <c r="G1" s="33"/>
    </row>
    <row r="2" spans="1:7" ht="18.75">
      <c r="A2" s="33" t="s">
        <v>1047</v>
      </c>
      <c r="B2" s="33"/>
      <c r="C2" s="33"/>
      <c r="D2" s="33"/>
      <c r="E2" s="33"/>
      <c r="F2" s="33"/>
      <c r="G2" s="33"/>
    </row>
    <row r="3" spans="1:7" s="11" customFormat="1" ht="38.25">
      <c r="A3" s="9" t="s">
        <v>1305</v>
      </c>
      <c r="B3" s="9" t="s">
        <v>1039</v>
      </c>
      <c r="C3" s="9" t="s">
        <v>1041</v>
      </c>
      <c r="D3" s="9" t="s">
        <v>1044</v>
      </c>
      <c r="E3" s="9" t="s">
        <v>941</v>
      </c>
      <c r="F3" s="19" t="s">
        <v>833</v>
      </c>
      <c r="G3" s="9" t="s">
        <v>1040</v>
      </c>
    </row>
    <row r="4" spans="1:7">
      <c r="B4" s="4" t="s">
        <v>759</v>
      </c>
      <c r="C4" s="2" t="s">
        <v>735</v>
      </c>
      <c r="D4" s="17" t="s">
        <v>1007</v>
      </c>
      <c r="E4" s="2" t="s">
        <v>337</v>
      </c>
      <c r="F4" s="4">
        <v>1</v>
      </c>
    </row>
    <row r="5" spans="1:7">
      <c r="B5" s="4" t="s">
        <v>759</v>
      </c>
      <c r="D5" s="17" t="s">
        <v>1008</v>
      </c>
      <c r="E5" s="2"/>
      <c r="F5" s="4">
        <v>1</v>
      </c>
    </row>
    <row r="6" spans="1:7" ht="25.5">
      <c r="B6" s="4" t="s">
        <v>759</v>
      </c>
      <c r="D6" s="17" t="s">
        <v>1009</v>
      </c>
      <c r="E6" s="2" t="s">
        <v>338</v>
      </c>
      <c r="F6" s="4">
        <v>1</v>
      </c>
    </row>
    <row r="7" spans="1:7" ht="38.25">
      <c r="B7" s="4" t="s">
        <v>759</v>
      </c>
      <c r="C7" s="2" t="s">
        <v>1019</v>
      </c>
      <c r="D7" s="2" t="s">
        <v>1143</v>
      </c>
      <c r="E7" s="2" t="s">
        <v>336</v>
      </c>
      <c r="F7" s="4">
        <v>3</v>
      </c>
    </row>
    <row r="8" spans="1:7" ht="38.25">
      <c r="B8" s="4" t="s">
        <v>759</v>
      </c>
      <c r="C8" s="2" t="s">
        <v>736</v>
      </c>
      <c r="D8" s="17" t="s">
        <v>1010</v>
      </c>
      <c r="E8" s="2" t="s">
        <v>339</v>
      </c>
      <c r="F8" s="4">
        <v>3</v>
      </c>
    </row>
    <row r="9" spans="1:7" ht="25.5">
      <c r="B9" s="4" t="s">
        <v>759</v>
      </c>
      <c r="D9" s="17" t="s">
        <v>1011</v>
      </c>
      <c r="E9" s="2" t="s">
        <v>340</v>
      </c>
      <c r="F9" s="4">
        <v>3</v>
      </c>
    </row>
    <row r="10" spans="1:7" ht="25.5">
      <c r="B10" s="4" t="s">
        <v>759</v>
      </c>
      <c r="D10" s="17" t="s">
        <v>1012</v>
      </c>
      <c r="E10" s="2" t="s">
        <v>341</v>
      </c>
      <c r="F10" s="4">
        <v>1</v>
      </c>
    </row>
    <row r="11" spans="1:7" ht="25.5">
      <c r="D11" s="2" t="s">
        <v>1149</v>
      </c>
      <c r="E11" s="2"/>
      <c r="F11" s="4">
        <v>2</v>
      </c>
    </row>
    <row r="12" spans="1:7" ht="25.5">
      <c r="B12" s="4" t="s">
        <v>759</v>
      </c>
      <c r="C12" s="2" t="s">
        <v>737</v>
      </c>
      <c r="D12" s="2" t="s">
        <v>1144</v>
      </c>
      <c r="E12" s="2"/>
      <c r="F12" s="4">
        <v>3</v>
      </c>
    </row>
    <row r="13" spans="1:7" ht="51">
      <c r="B13" s="4" t="s">
        <v>759</v>
      </c>
      <c r="C13" s="2" t="s">
        <v>738</v>
      </c>
      <c r="D13" s="17" t="s">
        <v>1013</v>
      </c>
      <c r="E13" s="2" t="s">
        <v>342</v>
      </c>
      <c r="F13" s="4">
        <v>2</v>
      </c>
    </row>
    <row r="14" spans="1:7" ht="38.25">
      <c r="B14" s="4" t="s">
        <v>759</v>
      </c>
      <c r="D14" s="17" t="s">
        <v>1014</v>
      </c>
      <c r="E14" s="2"/>
      <c r="F14" s="4">
        <v>3</v>
      </c>
    </row>
    <row r="15" spans="1:7" ht="51">
      <c r="B15" s="4" t="s">
        <v>759</v>
      </c>
      <c r="C15" s="2" t="s">
        <v>739</v>
      </c>
      <c r="D15" s="17" t="s">
        <v>1015</v>
      </c>
      <c r="E15" s="2" t="s">
        <v>343</v>
      </c>
      <c r="F15" s="4">
        <v>3</v>
      </c>
    </row>
    <row r="16" spans="1:7" ht="25.5">
      <c r="B16" s="4" t="s">
        <v>759</v>
      </c>
      <c r="E16" s="2" t="s">
        <v>344</v>
      </c>
    </row>
    <row r="17" spans="2:6" ht="25.5">
      <c r="B17" s="4" t="s">
        <v>759</v>
      </c>
      <c r="C17" s="2" t="s">
        <v>740</v>
      </c>
      <c r="E17" s="2" t="s">
        <v>345</v>
      </c>
    </row>
    <row r="18" spans="2:6" ht="63.75">
      <c r="B18" s="4" t="s">
        <v>759</v>
      </c>
      <c r="C18" s="2" t="s">
        <v>741</v>
      </c>
      <c r="D18" s="17" t="s">
        <v>1016</v>
      </c>
      <c r="E18" s="2" t="s">
        <v>346</v>
      </c>
      <c r="F18" s="4">
        <v>3</v>
      </c>
    </row>
    <row r="19" spans="2:6" ht="25.5">
      <c r="B19" s="4" t="s">
        <v>759</v>
      </c>
      <c r="D19" s="17" t="s">
        <v>1017</v>
      </c>
      <c r="E19" s="2"/>
      <c r="F19" s="4">
        <v>1</v>
      </c>
    </row>
    <row r="20" spans="2:6" ht="51">
      <c r="B20" s="4" t="s">
        <v>759</v>
      </c>
      <c r="C20" s="2" t="s">
        <v>742</v>
      </c>
      <c r="D20" s="17" t="s">
        <v>1018</v>
      </c>
      <c r="E20" s="2" t="s">
        <v>347</v>
      </c>
      <c r="F20" s="4">
        <v>3</v>
      </c>
    </row>
    <row r="21" spans="2:6" ht="25.5">
      <c r="B21" s="4" t="s">
        <v>759</v>
      </c>
      <c r="D21" s="2" t="s">
        <v>1145</v>
      </c>
      <c r="E21" s="2" t="s">
        <v>351</v>
      </c>
      <c r="F21" s="4">
        <v>3</v>
      </c>
    </row>
    <row r="22" spans="2:6">
      <c r="B22" s="4" t="s">
        <v>759</v>
      </c>
      <c r="E22" s="2" t="s">
        <v>352</v>
      </c>
    </row>
    <row r="23" spans="2:6" ht="25.5">
      <c r="B23" s="4" t="s">
        <v>759</v>
      </c>
      <c r="C23" s="2" t="s">
        <v>743</v>
      </c>
      <c r="D23" s="17" t="s">
        <v>792</v>
      </c>
      <c r="E23" s="2" t="s">
        <v>348</v>
      </c>
      <c r="F23" s="4">
        <v>1</v>
      </c>
    </row>
    <row r="24" spans="2:6" ht="63.75">
      <c r="B24" s="4" t="s">
        <v>1048</v>
      </c>
      <c r="C24" s="3" t="s">
        <v>744</v>
      </c>
      <c r="D24" s="17" t="s">
        <v>793</v>
      </c>
      <c r="E24" s="2" t="s">
        <v>349</v>
      </c>
      <c r="F24" s="4">
        <v>3</v>
      </c>
    </row>
    <row r="25" spans="2:6" ht="25.5">
      <c r="B25" s="4" t="s">
        <v>1048</v>
      </c>
      <c r="D25" s="17" t="s">
        <v>1134</v>
      </c>
      <c r="E25" s="2" t="s">
        <v>350</v>
      </c>
      <c r="F25" s="4">
        <v>3</v>
      </c>
    </row>
    <row r="26" spans="2:6" ht="25.5">
      <c r="B26" s="4" t="s">
        <v>1048</v>
      </c>
      <c r="D26" s="17" t="s">
        <v>794</v>
      </c>
      <c r="E26" s="2"/>
      <c r="F26" s="4">
        <v>3</v>
      </c>
    </row>
    <row r="27" spans="2:6" ht="38.25">
      <c r="D27" s="2" t="s">
        <v>1146</v>
      </c>
      <c r="E27" s="2"/>
      <c r="F27" s="4">
        <v>3</v>
      </c>
    </row>
    <row r="28" spans="2:6" ht="25.5">
      <c r="D28" s="2" t="s">
        <v>1147</v>
      </c>
      <c r="E28" s="2"/>
      <c r="F28" s="4">
        <v>3</v>
      </c>
    </row>
    <row r="29" spans="2:6" ht="51">
      <c r="D29" s="2" t="s">
        <v>1148</v>
      </c>
      <c r="E29" s="2"/>
      <c r="F29" s="4">
        <v>3</v>
      </c>
    </row>
    <row r="30" spans="2:6" ht="38.25">
      <c r="B30" s="4" t="s">
        <v>1048</v>
      </c>
      <c r="C30" s="2" t="s">
        <v>745</v>
      </c>
      <c r="D30" s="17" t="s">
        <v>795</v>
      </c>
      <c r="E30" s="2" t="s">
        <v>353</v>
      </c>
      <c r="F30" s="4">
        <v>3</v>
      </c>
    </row>
    <row r="31" spans="2:6" ht="25.5">
      <c r="B31" s="4" t="s">
        <v>1048</v>
      </c>
      <c r="D31" s="17" t="s">
        <v>796</v>
      </c>
      <c r="E31" s="2" t="s">
        <v>354</v>
      </c>
      <c r="F31" s="4">
        <v>3</v>
      </c>
    </row>
    <row r="32" spans="2:6" ht="51">
      <c r="B32" s="4" t="s">
        <v>1048</v>
      </c>
      <c r="C32" s="2" t="s">
        <v>746</v>
      </c>
      <c r="D32" s="17" t="s">
        <v>797</v>
      </c>
      <c r="E32" s="2" t="s">
        <v>355</v>
      </c>
      <c r="F32" s="4">
        <v>3</v>
      </c>
    </row>
    <row r="33" spans="2:6" ht="51">
      <c r="B33" s="4" t="s">
        <v>1048</v>
      </c>
      <c r="C33" s="2" t="s">
        <v>747</v>
      </c>
      <c r="E33" s="2" t="s">
        <v>356</v>
      </c>
    </row>
    <row r="34" spans="2:6">
      <c r="B34" s="4" t="s">
        <v>1048</v>
      </c>
      <c r="E34" s="2"/>
    </row>
    <row r="35" spans="2:6">
      <c r="B35" s="4" t="s">
        <v>1048</v>
      </c>
      <c r="C35" s="2" t="s">
        <v>748</v>
      </c>
      <c r="E35" s="2" t="s">
        <v>357</v>
      </c>
    </row>
    <row r="36" spans="2:6" ht="76.5">
      <c r="B36" s="4" t="s">
        <v>937</v>
      </c>
      <c r="C36" s="3" t="s">
        <v>749</v>
      </c>
      <c r="D36" s="17" t="s">
        <v>798</v>
      </c>
      <c r="E36" s="2" t="s">
        <v>358</v>
      </c>
      <c r="F36" s="4">
        <v>2</v>
      </c>
    </row>
    <row r="37" spans="2:6" ht="38.25">
      <c r="C37" s="3"/>
      <c r="D37" s="2" t="s">
        <v>1135</v>
      </c>
      <c r="E37" s="2"/>
      <c r="F37" s="4">
        <v>3</v>
      </c>
    </row>
    <row r="38" spans="2:6">
      <c r="B38" s="4" t="s">
        <v>937</v>
      </c>
      <c r="E38" s="2" t="s">
        <v>359</v>
      </c>
    </row>
    <row r="39" spans="2:6" ht="38.25">
      <c r="B39" s="4" t="s">
        <v>939</v>
      </c>
      <c r="C39" s="2" t="s">
        <v>750</v>
      </c>
      <c r="D39" s="2" t="s">
        <v>1136</v>
      </c>
      <c r="E39" s="2" t="s">
        <v>360</v>
      </c>
      <c r="F39" s="4">
        <v>2</v>
      </c>
    </row>
    <row r="40" spans="2:6" ht="25.5">
      <c r="B40" s="4" t="s">
        <v>939</v>
      </c>
      <c r="D40" s="2" t="s">
        <v>1141</v>
      </c>
      <c r="E40" s="2" t="s">
        <v>361</v>
      </c>
    </row>
    <row r="41" spans="2:6">
      <c r="B41" s="4" t="s">
        <v>939</v>
      </c>
      <c r="E41" s="2" t="s">
        <v>554</v>
      </c>
      <c r="F41" s="4">
        <v>3</v>
      </c>
    </row>
    <row r="42" spans="2:6" ht="63.75">
      <c r="B42" s="4" t="s">
        <v>939</v>
      </c>
      <c r="C42" s="3" t="s">
        <v>751</v>
      </c>
      <c r="D42" s="17" t="s">
        <v>799</v>
      </c>
      <c r="E42" s="2" t="s">
        <v>555</v>
      </c>
      <c r="F42" s="4">
        <v>3</v>
      </c>
    </row>
    <row r="43" spans="2:6" ht="38.25">
      <c r="B43" s="4" t="s">
        <v>939</v>
      </c>
      <c r="D43" s="17" t="s">
        <v>800</v>
      </c>
      <c r="E43" s="2" t="s">
        <v>556</v>
      </c>
      <c r="F43" s="4">
        <v>3</v>
      </c>
    </row>
    <row r="44" spans="2:6" ht="38.25">
      <c r="D44" s="2" t="s">
        <v>1137</v>
      </c>
      <c r="E44" s="2"/>
      <c r="F44" s="4">
        <v>3</v>
      </c>
    </row>
    <row r="45" spans="2:6" ht="51">
      <c r="B45" s="4" t="s">
        <v>939</v>
      </c>
      <c r="C45" s="2" t="s">
        <v>752</v>
      </c>
      <c r="D45" s="17" t="s">
        <v>801</v>
      </c>
      <c r="E45" s="2" t="s">
        <v>559</v>
      </c>
      <c r="F45" s="4">
        <v>3</v>
      </c>
    </row>
    <row r="46" spans="2:6">
      <c r="B46" s="4" t="s">
        <v>939</v>
      </c>
      <c r="D46" s="17" t="s">
        <v>802</v>
      </c>
      <c r="E46" s="2"/>
      <c r="F46" s="4">
        <v>3</v>
      </c>
    </row>
    <row r="47" spans="2:6" ht="25.5">
      <c r="B47" s="4" t="s">
        <v>939</v>
      </c>
      <c r="D47" s="17" t="s">
        <v>803</v>
      </c>
      <c r="E47" s="2"/>
      <c r="F47" s="4">
        <v>2</v>
      </c>
    </row>
    <row r="48" spans="2:6" ht="25.5">
      <c r="B48" s="4" t="s">
        <v>939</v>
      </c>
      <c r="D48" s="17" t="s">
        <v>804</v>
      </c>
      <c r="E48" s="2"/>
      <c r="F48" s="4">
        <v>3</v>
      </c>
    </row>
    <row r="49" spans="2:6" ht="25.5">
      <c r="D49" s="2" t="s">
        <v>1141</v>
      </c>
      <c r="E49" s="2"/>
      <c r="F49" s="4">
        <v>3</v>
      </c>
    </row>
    <row r="50" spans="2:6" ht="51">
      <c r="B50" s="4" t="s">
        <v>940</v>
      </c>
      <c r="C50" s="2" t="s">
        <v>753</v>
      </c>
      <c r="D50" s="17" t="s">
        <v>1124</v>
      </c>
      <c r="E50" s="2" t="s">
        <v>560</v>
      </c>
      <c r="F50" s="4">
        <v>3</v>
      </c>
    </row>
    <row r="51" spans="2:6" ht="25.5">
      <c r="B51" s="4" t="s">
        <v>940</v>
      </c>
      <c r="D51" s="2" t="s">
        <v>1138</v>
      </c>
      <c r="E51" s="2" t="s">
        <v>561</v>
      </c>
      <c r="F51" s="4">
        <v>2</v>
      </c>
    </row>
    <row r="52" spans="2:6" ht="25.5">
      <c r="D52" s="2" t="s">
        <v>1139</v>
      </c>
      <c r="E52" s="2"/>
      <c r="F52" s="4">
        <v>2</v>
      </c>
    </row>
    <row r="53" spans="2:6" ht="25.5">
      <c r="D53" s="2" t="s">
        <v>1140</v>
      </c>
      <c r="E53" s="2"/>
      <c r="F53" s="4">
        <v>3</v>
      </c>
    </row>
    <row r="54" spans="2:6" ht="38.25">
      <c r="B54" s="4" t="s">
        <v>940</v>
      </c>
      <c r="C54" s="2" t="s">
        <v>754</v>
      </c>
      <c r="D54" s="17" t="s">
        <v>1126</v>
      </c>
      <c r="E54" s="2" t="s">
        <v>562</v>
      </c>
      <c r="F54" s="4">
        <v>3</v>
      </c>
    </row>
    <row r="55" spans="2:6" ht="25.5">
      <c r="B55" s="4" t="s">
        <v>940</v>
      </c>
      <c r="C55" s="2" t="s">
        <v>755</v>
      </c>
      <c r="D55" s="17" t="s">
        <v>1125</v>
      </c>
      <c r="E55" s="2" t="s">
        <v>557</v>
      </c>
      <c r="F55" s="4">
        <v>3</v>
      </c>
    </row>
    <row r="56" spans="2:6">
      <c r="B56" s="4" t="s">
        <v>940</v>
      </c>
      <c r="E56" s="2" t="s">
        <v>558</v>
      </c>
    </row>
    <row r="57" spans="2:6" ht="63.75">
      <c r="B57" s="4" t="s">
        <v>940</v>
      </c>
      <c r="C57" s="3" t="s">
        <v>756</v>
      </c>
      <c r="D57" s="17" t="s">
        <v>1127</v>
      </c>
      <c r="E57" s="2" t="s">
        <v>563</v>
      </c>
      <c r="F57" s="4">
        <v>3</v>
      </c>
    </row>
    <row r="58" spans="2:6" ht="38.25">
      <c r="B58" s="4" t="s">
        <v>940</v>
      </c>
      <c r="D58" s="17" t="s">
        <v>1128</v>
      </c>
      <c r="E58" s="2" t="s">
        <v>564</v>
      </c>
      <c r="F58" s="4">
        <v>2</v>
      </c>
    </row>
    <row r="59" spans="2:6" ht="38.25">
      <c r="B59" s="4" t="s">
        <v>940</v>
      </c>
      <c r="D59" s="17" t="s">
        <v>1129</v>
      </c>
      <c r="E59" s="2"/>
      <c r="F59" s="4">
        <v>3</v>
      </c>
    </row>
    <row r="60" spans="2:6">
      <c r="D60" s="2" t="s">
        <v>1142</v>
      </c>
      <c r="E60" s="2"/>
      <c r="F60" s="4">
        <v>2</v>
      </c>
    </row>
    <row r="61" spans="2:6" ht="25.5">
      <c r="B61" s="4" t="s">
        <v>940</v>
      </c>
      <c r="C61" s="2" t="s">
        <v>757</v>
      </c>
      <c r="D61" s="17" t="s">
        <v>1130</v>
      </c>
      <c r="E61" s="2" t="s">
        <v>565</v>
      </c>
      <c r="F61" s="4">
        <v>3</v>
      </c>
    </row>
    <row r="62" spans="2:6" ht="38.25">
      <c r="B62" s="4" t="s">
        <v>940</v>
      </c>
      <c r="C62" s="2" t="s">
        <v>758</v>
      </c>
      <c r="D62" s="17" t="s">
        <v>1131</v>
      </c>
      <c r="E62" s="2" t="s">
        <v>566</v>
      </c>
      <c r="F62" s="4">
        <v>3</v>
      </c>
    </row>
    <row r="63" spans="2:6" ht="25.5">
      <c r="B63" s="4" t="s">
        <v>940</v>
      </c>
      <c r="D63" s="17" t="s">
        <v>1132</v>
      </c>
      <c r="E63" s="2"/>
    </row>
    <row r="64" spans="2:6" ht="25.5">
      <c r="B64" s="4" t="s">
        <v>940</v>
      </c>
      <c r="D64" s="17" t="s">
        <v>1133</v>
      </c>
      <c r="E64" s="2"/>
      <c r="F64" s="4">
        <v>3</v>
      </c>
    </row>
    <row r="65" spans="2:6" ht="25.5">
      <c r="B65" s="4" t="s">
        <v>940</v>
      </c>
      <c r="D65" s="17" t="s">
        <v>1130</v>
      </c>
      <c r="E65" s="2"/>
      <c r="F65" s="4">
        <v>3</v>
      </c>
    </row>
    <row r="66" spans="2:6">
      <c r="E66" s="2"/>
    </row>
    <row r="67" spans="2:6">
      <c r="E67" s="2"/>
    </row>
    <row r="68" spans="2:6">
      <c r="E68" s="2"/>
    </row>
    <row r="69" spans="2:6">
      <c r="E69" s="2"/>
    </row>
    <row r="70" spans="2:6">
      <c r="E70" s="2"/>
    </row>
    <row r="71" spans="2:6">
      <c r="E71" s="2"/>
    </row>
    <row r="72" spans="2:6">
      <c r="E72" s="2"/>
    </row>
    <row r="73" spans="2:6">
      <c r="E73" s="2"/>
    </row>
    <row r="74" spans="2:6">
      <c r="E74" s="2"/>
    </row>
    <row r="75" spans="2:6">
      <c r="E75" s="2"/>
    </row>
    <row r="76" spans="2:6">
      <c r="E76" s="2"/>
    </row>
    <row r="77" spans="2:6">
      <c r="E77" s="2"/>
    </row>
    <row r="78" spans="2:6">
      <c r="E78" s="2"/>
    </row>
    <row r="79" spans="2:6">
      <c r="E79" s="2"/>
    </row>
    <row r="80" spans="2:6">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row r="90" spans="5:5">
      <c r="E90" s="2"/>
    </row>
    <row r="91" spans="5:5">
      <c r="E91" s="2"/>
    </row>
    <row r="92" spans="5:5">
      <c r="E92" s="2"/>
    </row>
    <row r="93" spans="5:5">
      <c r="E93" s="2"/>
    </row>
    <row r="94" spans="5:5">
      <c r="E94" s="2"/>
    </row>
    <row r="95" spans="5:5">
      <c r="E95" s="2"/>
    </row>
    <row r="96" spans="5:5">
      <c r="E96" s="2"/>
    </row>
    <row r="97" spans="5:5">
      <c r="E97" s="2"/>
    </row>
    <row r="98" spans="5:5">
      <c r="E98" s="2"/>
    </row>
    <row r="99" spans="5:5">
      <c r="E99" s="2"/>
    </row>
    <row r="100" spans="5:5">
      <c r="E100" s="2"/>
    </row>
    <row r="101" spans="5:5">
      <c r="E101" s="2"/>
    </row>
    <row r="102" spans="5:5">
      <c r="E102" s="2"/>
    </row>
    <row r="103" spans="5:5">
      <c r="E103" s="2"/>
    </row>
    <row r="104" spans="5:5">
      <c r="E104" s="2"/>
    </row>
    <row r="105" spans="5:5">
      <c r="E105" s="2"/>
    </row>
    <row r="106" spans="5:5">
      <c r="E106" s="2"/>
    </row>
    <row r="107" spans="5:5">
      <c r="E107" s="2"/>
    </row>
    <row r="108" spans="5:5">
      <c r="E108" s="2"/>
    </row>
    <row r="109" spans="5:5">
      <c r="E109" s="2"/>
    </row>
    <row r="110" spans="5:5">
      <c r="E110" s="2"/>
    </row>
    <row r="111" spans="5:5">
      <c r="E111" s="2"/>
    </row>
    <row r="112" spans="5:5">
      <c r="E112" s="2"/>
    </row>
    <row r="113" spans="5:5">
      <c r="E113" s="2"/>
    </row>
    <row r="114" spans="5:5">
      <c r="E114" s="2"/>
    </row>
    <row r="115" spans="5:5">
      <c r="E115" s="2"/>
    </row>
    <row r="116" spans="5:5">
      <c r="E116" s="2"/>
    </row>
    <row r="117" spans="5:5">
      <c r="E117" s="2"/>
    </row>
    <row r="118" spans="5:5">
      <c r="E118" s="2"/>
    </row>
    <row r="119" spans="5:5">
      <c r="E119" s="2"/>
    </row>
    <row r="120" spans="5:5">
      <c r="E120" s="2"/>
    </row>
    <row r="121" spans="5:5">
      <c r="E121" s="2"/>
    </row>
    <row r="122" spans="5:5">
      <c r="E122" s="2"/>
    </row>
    <row r="123" spans="5:5">
      <c r="E123" s="2"/>
    </row>
    <row r="124" spans="5:5">
      <c r="E124" s="2"/>
    </row>
    <row r="125" spans="5:5">
      <c r="E125" s="2"/>
    </row>
    <row r="126" spans="5:5">
      <c r="E126" s="2"/>
    </row>
    <row r="127" spans="5:5">
      <c r="E127" s="2"/>
    </row>
    <row r="128" spans="5:5">
      <c r="E128" s="2"/>
    </row>
    <row r="129" spans="5:5">
      <c r="E129" s="2"/>
    </row>
    <row r="130" spans="5:5">
      <c r="E130" s="2"/>
    </row>
    <row r="131" spans="5:5">
      <c r="E131" s="2"/>
    </row>
    <row r="132" spans="5:5">
      <c r="E132" s="2"/>
    </row>
    <row r="133" spans="5:5">
      <c r="E133" s="2"/>
    </row>
    <row r="134" spans="5:5">
      <c r="E134" s="2"/>
    </row>
    <row r="135" spans="5:5">
      <c r="E135" s="2"/>
    </row>
    <row r="136" spans="5:5">
      <c r="E136" s="2"/>
    </row>
    <row r="137" spans="5:5">
      <c r="E137" s="2"/>
    </row>
    <row r="138" spans="5:5">
      <c r="E138" s="2"/>
    </row>
    <row r="139" spans="5:5">
      <c r="E139" s="2"/>
    </row>
    <row r="140" spans="5:5">
      <c r="E140" s="2"/>
    </row>
    <row r="141" spans="5:5">
      <c r="E141" s="2"/>
    </row>
    <row r="142" spans="5:5">
      <c r="E142" s="2"/>
    </row>
    <row r="143" spans="5:5">
      <c r="E143" s="2"/>
    </row>
    <row r="144" spans="5:5">
      <c r="E144" s="2"/>
    </row>
    <row r="145" spans="5:5">
      <c r="E145" s="2"/>
    </row>
    <row r="146" spans="5:5">
      <c r="E146" s="2"/>
    </row>
    <row r="147" spans="5:5">
      <c r="E147" s="2"/>
    </row>
    <row r="148" spans="5:5">
      <c r="E148" s="2"/>
    </row>
    <row r="149" spans="5:5">
      <c r="E149" s="2"/>
    </row>
    <row r="150" spans="5:5">
      <c r="E150" s="2"/>
    </row>
    <row r="151" spans="5:5">
      <c r="E151" s="2"/>
    </row>
    <row r="152" spans="5:5">
      <c r="E152" s="2"/>
    </row>
    <row r="153" spans="5:5">
      <c r="E153" s="2"/>
    </row>
    <row r="154" spans="5:5">
      <c r="E154" s="2"/>
    </row>
    <row r="155" spans="5:5">
      <c r="E155" s="2"/>
    </row>
    <row r="156" spans="5:5">
      <c r="E156" s="2"/>
    </row>
  </sheetData>
  <mergeCells count="2">
    <mergeCell ref="A1:G1"/>
    <mergeCell ref="A2:G2"/>
  </mergeCells>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worksheet>
</file>

<file path=xl/worksheets/sheet10.xml><?xml version="1.0" encoding="utf-8"?>
<worksheet xmlns="http://schemas.openxmlformats.org/spreadsheetml/2006/main" xmlns:r="http://schemas.openxmlformats.org/officeDocument/2006/relationships">
  <sheetPr codeName="Sheet6"/>
  <dimension ref="A1:G8"/>
  <sheetViews>
    <sheetView zoomScaleNormal="100" zoomScaleSheetLayoutView="100" workbookViewId="0">
      <selection activeCell="B3" sqref="B1:B65536"/>
    </sheetView>
  </sheetViews>
  <sheetFormatPr defaultRowHeight="12.75"/>
  <cols>
    <col min="1" max="1" width="8.42578125" style="1" customWidth="1"/>
    <col min="2" max="2" width="8" style="1" bestFit="1" customWidth="1"/>
    <col min="3" max="3" width="48.7109375" style="2" customWidth="1"/>
    <col min="4" max="4" width="50.7109375" style="2" customWidth="1"/>
    <col min="5" max="5" width="51" style="1" customWidth="1"/>
    <col min="6" max="6" width="6.42578125" style="4" bestFit="1" customWidth="1"/>
    <col min="7" max="7" width="11" style="2" customWidth="1"/>
    <col min="8" max="16384" width="9.140625" style="8"/>
  </cols>
  <sheetData>
    <row r="1" spans="1:7" ht="18.75">
      <c r="A1" s="5" t="s">
        <v>1046</v>
      </c>
      <c r="B1" s="6"/>
      <c r="C1" s="7"/>
      <c r="D1" s="7"/>
      <c r="E1" s="7"/>
      <c r="F1" s="26"/>
      <c r="G1" s="7"/>
    </row>
    <row r="2" spans="1:7" ht="18.75">
      <c r="A2" s="5" t="s">
        <v>1047</v>
      </c>
      <c r="B2" s="6"/>
      <c r="C2" s="7"/>
      <c r="D2" s="7"/>
      <c r="E2" s="7"/>
      <c r="F2" s="26"/>
      <c r="G2" s="7"/>
    </row>
    <row r="3" spans="1:7" s="11" customFormat="1" ht="38.25">
      <c r="A3" s="9" t="s">
        <v>1305</v>
      </c>
      <c r="B3" s="9" t="s">
        <v>1039</v>
      </c>
      <c r="C3" s="9" t="s">
        <v>1041</v>
      </c>
      <c r="D3" s="9" t="s">
        <v>1042</v>
      </c>
      <c r="E3" s="9" t="s">
        <v>1044</v>
      </c>
      <c r="F3" s="19" t="s">
        <v>833</v>
      </c>
      <c r="G3" s="9" t="s">
        <v>1040</v>
      </c>
    </row>
    <row r="4" spans="1:7">
      <c r="B4" s="1" t="s">
        <v>1048</v>
      </c>
      <c r="D4" s="2" t="s">
        <v>1043</v>
      </c>
    </row>
    <row r="7" spans="1:7">
      <c r="C7" s="3"/>
    </row>
    <row r="8" spans="1:7" ht="12.75" customHeight="1"/>
  </sheetData>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customProperties>
    <customPr name="DVSECTIONID" r:id="rId2"/>
  </customProperties>
</worksheet>
</file>

<file path=xl/worksheets/sheet11.xml><?xml version="1.0" encoding="utf-8"?>
<worksheet xmlns="http://schemas.openxmlformats.org/spreadsheetml/2006/main" xmlns:r="http://schemas.openxmlformats.org/officeDocument/2006/relationships">
  <sheetPr codeName="Sheet4"/>
  <dimension ref="A1:IV7"/>
  <sheetViews>
    <sheetView workbookViewId="0">
      <selection activeCell="AM1" sqref="AM1"/>
    </sheetView>
  </sheetViews>
  <sheetFormatPr defaultRowHeight="12.75"/>
  <sheetData>
    <row r="1" spans="1:256">
      <c r="A1" t="e">
        <f>IF(#REF!,"AAAAAH3+/wA=",0)</f>
        <v>#REF!</v>
      </c>
      <c r="B1" t="e">
        <f>AND(#REF!,"AAAAAH3+/wE=")</f>
        <v>#REF!</v>
      </c>
      <c r="C1" t="e">
        <f>AND(#REF!,"AAAAAH3+/wI=")</f>
        <v>#REF!</v>
      </c>
      <c r="D1" t="e">
        <f>AND(#REF!,"AAAAAH3+/wM=")</f>
        <v>#REF!</v>
      </c>
      <c r="E1" t="e">
        <f>AND(#REF!,"AAAAAH3+/wQ=")</f>
        <v>#REF!</v>
      </c>
      <c r="F1" t="e">
        <f>AND(#REF!,"AAAAAH3+/wU=")</f>
        <v>#REF!</v>
      </c>
      <c r="G1" t="e">
        <f>AND(#REF!,"AAAAAH3+/wY=")</f>
        <v>#REF!</v>
      </c>
      <c r="H1" t="e">
        <f>IF(#REF!,"AAAAAH3+/wc=",0)</f>
        <v>#REF!</v>
      </c>
      <c r="I1" t="e">
        <f>AND(#REF!,"AAAAAH3+/wg=")</f>
        <v>#REF!</v>
      </c>
      <c r="J1" t="e">
        <f>AND(#REF!,"AAAAAH3+/wk=")</f>
        <v>#REF!</v>
      </c>
      <c r="K1" t="e">
        <f>AND(#REF!,"AAAAAH3+/wo=")</f>
        <v>#REF!</v>
      </c>
      <c r="L1" t="e">
        <f>AND(#REF!,"AAAAAH3+/ws=")</f>
        <v>#REF!</v>
      </c>
      <c r="M1" t="e">
        <f>AND(#REF!,"AAAAAH3+/ww=")</f>
        <v>#REF!</v>
      </c>
      <c r="N1" t="e">
        <f>AND(#REF!,"AAAAAH3+/w0=")</f>
        <v>#REF!</v>
      </c>
      <c r="O1" t="e">
        <f>IF(#REF!,"AAAAAH3+/w4=",0)</f>
        <v>#REF!</v>
      </c>
      <c r="P1" t="e">
        <f>AND(#REF!,"AAAAAH3+/w8=")</f>
        <v>#REF!</v>
      </c>
      <c r="Q1" t="e">
        <f>AND(#REF!,"AAAAAH3+/xA=")</f>
        <v>#REF!</v>
      </c>
      <c r="R1" t="e">
        <f>AND(#REF!,"AAAAAH3+/xE=")</f>
        <v>#REF!</v>
      </c>
      <c r="S1" t="e">
        <f>AND(#REF!,"AAAAAH3+/xI=")</f>
        <v>#REF!</v>
      </c>
      <c r="T1" t="e">
        <f>AND(#REF!,"AAAAAH3+/xM=")</f>
        <v>#REF!</v>
      </c>
      <c r="U1" t="e">
        <f>AND(#REF!,"AAAAAH3+/xQ=")</f>
        <v>#REF!</v>
      </c>
      <c r="V1" t="e">
        <f>IF(#REF!,"AAAAAH3+/xU=",0)</f>
        <v>#REF!</v>
      </c>
      <c r="W1" t="e">
        <f>AND(#REF!,"AAAAAH3+/xY=")</f>
        <v>#REF!</v>
      </c>
      <c r="X1" t="e">
        <f>AND(#REF!,"AAAAAH3+/xc=")</f>
        <v>#REF!</v>
      </c>
      <c r="Y1" t="e">
        <f>AND(#REF!,"AAAAAH3+/xg=")</f>
        <v>#REF!</v>
      </c>
      <c r="Z1" t="e">
        <f>AND(#REF!,"AAAAAH3+/xk=")</f>
        <v>#REF!</v>
      </c>
      <c r="AA1" t="e">
        <f>IF(#REF!,"AAAAAH3+/xo=",0)</f>
        <v>#REF!</v>
      </c>
      <c r="AB1" t="e">
        <f>IF(#REF!,"AAAAAH3+/xs=",0)</f>
        <v>#REF!</v>
      </c>
      <c r="AC1" t="e">
        <f>IF(#REF!,"AAAAAH3+/xw=",0)</f>
        <v>#REF!</v>
      </c>
      <c r="AD1" t="e">
        <f>IF(#REF!,"AAAAAH3+/x0=",0)</f>
        <v>#REF!</v>
      </c>
      <c r="AE1" t="e">
        <f>IF(#REF!,"AAAAAH3+/x4=",0)</f>
        <v>#REF!</v>
      </c>
      <c r="AF1" t="e">
        <f>IF(#REF!,"AAAAAH3+/x8=",0)</f>
        <v>#REF!</v>
      </c>
      <c r="AG1" t="e">
        <f>IF(#REF!,"AAAAAH3+/yA=",0)</f>
        <v>#REF!</v>
      </c>
      <c r="AH1" t="e">
        <f>AND(#REF!,"AAAAAH3+/yE=")</f>
        <v>#REF!</v>
      </c>
      <c r="AI1" t="e">
        <f>IF(#REF!,"AAAAAH3+/yI=",0)</f>
        <v>#REF!</v>
      </c>
      <c r="AJ1" t="e">
        <f>IF(#REF!,"AAAAAH3+/yM=",0)</f>
        <v>#REF!</v>
      </c>
      <c r="AK1" t="e">
        <f>AND(#REF!,"AAAAAH3+/yQ=")</f>
        <v>#REF!</v>
      </c>
      <c r="AL1" t="e">
        <f>IF(#REF!,"AAAAAH3+/yU=",0)</f>
        <v>#REF!</v>
      </c>
      <c r="AM1" t="s">
        <v>1045</v>
      </c>
    </row>
    <row r="2" spans="1:256">
      <c r="A2" t="e">
        <f>IF('3rd Grade'!1:1,"AAAAAC4zuwA=",0)</f>
        <v>#VALUE!</v>
      </c>
      <c r="B2" t="e">
        <f>AND('3rd Grade'!A1,"AAAAAC4zuwE=")</f>
        <v>#VALUE!</v>
      </c>
      <c r="C2" t="e">
        <f>AND('3rd Grade'!B1,"AAAAAC4zuwI=")</f>
        <v>#VALUE!</v>
      </c>
      <c r="D2" t="e">
        <f>AND('3rd Grade'!C1,"AAAAAC4zuwM=")</f>
        <v>#VALUE!</v>
      </c>
      <c r="E2" t="e">
        <f>AND('3rd Grade'!D1,"AAAAAC4zuwQ=")</f>
        <v>#VALUE!</v>
      </c>
      <c r="F2" t="e">
        <f>AND('3rd Grade'!E1,"AAAAAC4zuwU=")</f>
        <v>#VALUE!</v>
      </c>
      <c r="G2" t="e">
        <f>AND('3rd Grade'!G1,"AAAAAC4zuwY=")</f>
        <v>#VALUE!</v>
      </c>
      <c r="H2">
        <f>IF('3rd Grade'!2:2,"AAAAAC4zuwc=",0)</f>
        <v>0</v>
      </c>
      <c r="I2" t="e">
        <f>AND('3rd Grade'!A2,"AAAAAC4zuwg=")</f>
        <v>#VALUE!</v>
      </c>
      <c r="J2" t="e">
        <f>AND('3rd Grade'!B2,"AAAAAC4zuwk=")</f>
        <v>#VALUE!</v>
      </c>
      <c r="K2" t="e">
        <f>AND('3rd Grade'!C2,"AAAAAC4zuwo=")</f>
        <v>#VALUE!</v>
      </c>
      <c r="L2" t="e">
        <f>AND('3rd Grade'!D2,"AAAAAC4zuws=")</f>
        <v>#VALUE!</v>
      </c>
      <c r="M2" t="e">
        <f>AND('3rd Grade'!E2,"AAAAAC4zuww=")</f>
        <v>#VALUE!</v>
      </c>
      <c r="N2" t="e">
        <f>AND('3rd Grade'!G2,"AAAAAC4zuw0=")</f>
        <v>#VALUE!</v>
      </c>
      <c r="O2">
        <f>IF('3rd Grade'!3:3,"AAAAAC4zuw4=",0)</f>
        <v>0</v>
      </c>
      <c r="P2" t="e">
        <f>AND('3rd Grade'!A3,"AAAAAC4zuw8=")</f>
        <v>#VALUE!</v>
      </c>
      <c r="Q2" t="e">
        <f>AND('3rd Grade'!B3,"AAAAAC4zuxA=")</f>
        <v>#VALUE!</v>
      </c>
      <c r="R2" t="e">
        <f>AND('3rd Grade'!C3,"AAAAAC4zuxE=")</f>
        <v>#VALUE!</v>
      </c>
      <c r="S2" t="e">
        <f>AND('3rd Grade'!D3,"AAAAAC4zuxI=")</f>
        <v>#VALUE!</v>
      </c>
      <c r="T2" t="e">
        <f>AND('3rd Grade'!E3,"AAAAAC4zuxM=")</f>
        <v>#VALUE!</v>
      </c>
      <c r="U2" t="e">
        <f>AND('3rd Grade'!G3,"AAAAAC4zuxQ=")</f>
        <v>#VALUE!</v>
      </c>
      <c r="V2">
        <f>IF('3rd Grade'!21:21,"AAAAAC4zuxU=",0)</f>
        <v>0</v>
      </c>
      <c r="W2" t="e">
        <f>AND('3rd Grade'!A21,"AAAAAC4zuxY=")</f>
        <v>#VALUE!</v>
      </c>
      <c r="X2" t="e">
        <f>AND('3rd Grade'!B21,"AAAAAC4zuxc=")</f>
        <v>#VALUE!</v>
      </c>
      <c r="Y2" t="e">
        <f>AND('3rd Grade'!#REF!,"AAAAAC4zuxg=")</f>
        <v>#REF!</v>
      </c>
      <c r="Z2" t="e">
        <f>AND('3rd Grade'!E4,"AAAAAC4zuxk=")</f>
        <v>#VALUE!</v>
      </c>
      <c r="AA2" t="e">
        <f>IF('3rd Grade'!A:A,"AAAAAC4zuxo=",0)</f>
        <v>#VALUE!</v>
      </c>
      <c r="AB2">
        <f>IF('3rd Grade'!B:B,"AAAAAC4zuxs=",0)</f>
        <v>0</v>
      </c>
      <c r="AC2">
        <f>IF('3rd Grade'!C:C,"AAAAAC4zuxw=",0)</f>
        <v>0</v>
      </c>
      <c r="AD2">
        <f>IF('3rd Grade'!D:D,"AAAAAC4zux0=",0)</f>
        <v>0</v>
      </c>
      <c r="AE2">
        <f>IF('3rd Grade'!E:E,"AAAAAC4zux4=",0)</f>
        <v>0</v>
      </c>
      <c r="AF2">
        <f>IF('3rd Grade'!G:G,"AAAAAC4zux8=",0)</f>
        <v>0</v>
      </c>
    </row>
    <row r="3" spans="1:256">
      <c r="A3" t="e">
        <f>AND('3rd Grade'!C21,"AAAAAH0/3AA=")</f>
        <v>#VALUE!</v>
      </c>
      <c r="B3" t="e">
        <f>AND('3rd Grade'!#REF!,"AAAAAH0/3AE=")</f>
        <v>#REF!</v>
      </c>
      <c r="C3" t="e">
        <f>AND('3rd Grade'!G21,"AAAAAH0/3AI=")</f>
        <v>#VALUE!</v>
      </c>
      <c r="D3" t="e">
        <f>IF('3rd Grade'!22:22,"AAAAAH0/3AM=",0)</f>
        <v>#VALUE!</v>
      </c>
      <c r="E3" t="e">
        <f>AND('3rd Grade'!A22,"AAAAAH0/3AQ=")</f>
        <v>#VALUE!</v>
      </c>
      <c r="F3" t="e">
        <f>AND('3rd Grade'!B22,"AAAAAH0/3AU=")</f>
        <v>#VALUE!</v>
      </c>
      <c r="G3" t="e">
        <f>AND('3rd Grade'!C22,"AAAAAH0/3AY=")</f>
        <v>#VALUE!</v>
      </c>
      <c r="H3">
        <f>IF('3rd Grade'!23:23,"AAAAAH0/3Ac=",0)</f>
        <v>0</v>
      </c>
      <c r="I3" t="e">
        <f>AND('3rd Grade'!A23,"AAAAAH0/3Ag=")</f>
        <v>#VALUE!</v>
      </c>
      <c r="J3" t="e">
        <f>AND('3rd Grade'!B23,"AAAAAH0/3Ak=")</f>
        <v>#VALUE!</v>
      </c>
      <c r="K3" t="e">
        <f>AND('3rd Grade'!C23,"AAAAAH0/3Ao=")</f>
        <v>#VALUE!</v>
      </c>
      <c r="L3">
        <f>IF('3rd Grade'!24:24,"AAAAAH0/3As=",0)</f>
        <v>0</v>
      </c>
      <c r="M3" t="e">
        <f>AND('3rd Grade'!A24,"AAAAAH0/3Aw=")</f>
        <v>#VALUE!</v>
      </c>
      <c r="N3" t="e">
        <f>AND('3rd Grade'!B24,"AAAAAH0/3A0=")</f>
        <v>#VALUE!</v>
      </c>
      <c r="O3" t="e">
        <f>AND('3rd Grade'!C24,"AAAAAH0/3A4=")</f>
        <v>#VALUE!</v>
      </c>
      <c r="P3">
        <f>IF('3rd Grade'!25:25,"AAAAAH0/3A8=",0)</f>
        <v>0</v>
      </c>
      <c r="Q3" t="e">
        <f>AND('3rd Grade'!A25,"AAAAAH0/3BA=")</f>
        <v>#VALUE!</v>
      </c>
      <c r="R3" t="e">
        <f>AND('3rd Grade'!B25,"AAAAAH0/3BE=")</f>
        <v>#VALUE!</v>
      </c>
      <c r="S3" t="e">
        <f>AND('3rd Grade'!C25,"AAAAAH0/3BI=")</f>
        <v>#VALUE!</v>
      </c>
      <c r="T3">
        <f>IF('3rd Grade'!28:28,"AAAAAH0/3BM=",0)</f>
        <v>0</v>
      </c>
      <c r="U3" t="e">
        <f>AND('3rd Grade'!A28,"AAAAAH0/3BQ=")</f>
        <v>#VALUE!</v>
      </c>
      <c r="V3" t="e">
        <f>AND('3rd Grade'!B28,"AAAAAH0/3BU=")</f>
        <v>#VALUE!</v>
      </c>
      <c r="W3" t="e">
        <f>AND('3rd Grade'!C28,"AAAAAH0/3BY=")</f>
        <v>#VALUE!</v>
      </c>
      <c r="X3" t="e">
        <f>IF('3rd Grade'!#REF!,"AAAAAH0/3Bc=",0)</f>
        <v>#REF!</v>
      </c>
      <c r="Y3" t="e">
        <f>AND('3rd Grade'!#REF!,"AAAAAH0/3Bg=")</f>
        <v>#REF!</v>
      </c>
      <c r="Z3" t="e">
        <f>AND('3rd Grade'!#REF!,"AAAAAH0/3Bk=")</f>
        <v>#REF!</v>
      </c>
      <c r="AA3" t="e">
        <f>AND('3rd Grade'!#REF!,"AAAAAH0/3Bo=")</f>
        <v>#REF!</v>
      </c>
      <c r="AB3" t="e">
        <f>IF('3rd Grade'!#REF!,"AAAAAH0/3Bs=",0)</f>
        <v>#REF!</v>
      </c>
      <c r="AC3" t="e">
        <f>AND('3rd Grade'!#REF!,"AAAAAH0/3Bw=")</f>
        <v>#REF!</v>
      </c>
      <c r="AD3" t="e">
        <f>AND('3rd Grade'!#REF!,"AAAAAH0/3B0=")</f>
        <v>#REF!</v>
      </c>
      <c r="AE3" t="e">
        <f>AND('3rd Grade'!#REF!,"AAAAAH0/3B4=")</f>
        <v>#REF!</v>
      </c>
      <c r="AF3" t="e">
        <f>IF('3rd Grade'!#REF!,"AAAAAH0/3B8=",0)</f>
        <v>#REF!</v>
      </c>
      <c r="AG3" t="e">
        <f>AND('3rd Grade'!#REF!,"AAAAAH0/3CA=")</f>
        <v>#REF!</v>
      </c>
      <c r="AH3" t="e">
        <f>AND('3rd Grade'!#REF!,"AAAAAH0/3CE=")</f>
        <v>#REF!</v>
      </c>
      <c r="AI3" t="e">
        <f>AND('3rd Grade'!#REF!,"AAAAAH0/3CI=")</f>
        <v>#REF!</v>
      </c>
      <c r="AJ3" t="e">
        <f>IF('3rd Grade'!#REF!,"AAAAAH0/3CM=",0)</f>
        <v>#REF!</v>
      </c>
      <c r="AK3" t="e">
        <f>AND('3rd Grade'!#REF!,"AAAAAH0/3CQ=")</f>
        <v>#REF!</v>
      </c>
      <c r="AL3" t="e">
        <f>AND('3rd Grade'!#REF!,"AAAAAH0/3CU=")</f>
        <v>#REF!</v>
      </c>
      <c r="AM3" t="e">
        <f>AND('3rd Grade'!#REF!,"AAAAAH0/3CY=")</f>
        <v>#REF!</v>
      </c>
      <c r="AN3">
        <f>IF('3rd Grade'!29:29,"AAAAAH0/3Cc=",0)</f>
        <v>0</v>
      </c>
      <c r="AO3" t="e">
        <f>AND('3rd Grade'!A29,"AAAAAH0/3Cg=")</f>
        <v>#VALUE!</v>
      </c>
      <c r="AP3" t="e">
        <f>AND('3rd Grade'!B29,"AAAAAH0/3Ck=")</f>
        <v>#VALUE!</v>
      </c>
      <c r="AQ3" t="e">
        <f>AND('3rd Grade'!C29,"AAAAAH0/3Co=")</f>
        <v>#VALUE!</v>
      </c>
      <c r="AR3">
        <f>IF('3rd Grade'!31:31,"AAAAAH0/3Cs=",0)</f>
        <v>0</v>
      </c>
      <c r="AS3" t="e">
        <f>AND('3rd Grade'!A31,"AAAAAH0/3Cw=")</f>
        <v>#VALUE!</v>
      </c>
      <c r="AT3" t="e">
        <f>AND('3rd Grade'!B31,"AAAAAH0/3C0=")</f>
        <v>#VALUE!</v>
      </c>
      <c r="AU3" t="e">
        <f>AND('3rd Grade'!C31,"AAAAAH0/3C4=")</f>
        <v>#VALUE!</v>
      </c>
      <c r="AV3">
        <f>IF('3rd Grade'!33:33,"AAAAAH0/3C8=",0)</f>
        <v>0</v>
      </c>
      <c r="AW3" t="e">
        <f>AND('3rd Grade'!A33,"AAAAAH0/3DA=")</f>
        <v>#VALUE!</v>
      </c>
      <c r="AX3" t="e">
        <f>AND('3rd Grade'!B33,"AAAAAH0/3DE=")</f>
        <v>#VALUE!</v>
      </c>
      <c r="AY3" t="e">
        <f>AND('3rd Grade'!C33,"AAAAAH0/3DI=")</f>
        <v>#VALUE!</v>
      </c>
      <c r="AZ3" t="e">
        <f>IF('3rd Grade'!#REF!,"AAAAAH0/3DM=",0)</f>
        <v>#REF!</v>
      </c>
      <c r="BA3" t="e">
        <f>AND('3rd Grade'!#REF!,"AAAAAH0/3DQ=")</f>
        <v>#REF!</v>
      </c>
      <c r="BB3" t="e">
        <f>AND('3rd Grade'!#REF!,"AAAAAH0/3DU=")</f>
        <v>#REF!</v>
      </c>
      <c r="BC3" t="e">
        <f>AND('3rd Grade'!#REF!,"AAAAAH0/3DY=")</f>
        <v>#REF!</v>
      </c>
      <c r="BD3">
        <f>IF('3rd Grade'!34:34,"AAAAAH0/3Dc=",0)</f>
        <v>0</v>
      </c>
      <c r="BE3" t="e">
        <f>AND('3rd Grade'!A34,"AAAAAH0/3Dg=")</f>
        <v>#VALUE!</v>
      </c>
      <c r="BF3" t="e">
        <f>AND('3rd Grade'!B34,"AAAAAH0/3Dk=")</f>
        <v>#VALUE!</v>
      </c>
      <c r="BG3" t="e">
        <f>AND('3rd Grade'!C34,"AAAAAH0/3Do=")</f>
        <v>#VALUE!</v>
      </c>
      <c r="BH3">
        <f>IF('3rd Grade'!35:35,"AAAAAH0/3Ds=",0)</f>
        <v>0</v>
      </c>
      <c r="BI3" t="e">
        <f>AND('3rd Grade'!A35,"AAAAAH0/3Dw=")</f>
        <v>#VALUE!</v>
      </c>
      <c r="BJ3" t="e">
        <f>AND('3rd Grade'!B35,"AAAAAH0/3D0=")</f>
        <v>#VALUE!</v>
      </c>
      <c r="BK3" t="e">
        <f>AND('3rd Grade'!C35,"AAAAAH0/3D4=")</f>
        <v>#VALUE!</v>
      </c>
      <c r="BL3">
        <f>IF('3rd Grade'!38:38,"AAAAAH0/3D8=",0)</f>
        <v>0</v>
      </c>
      <c r="BM3" t="e">
        <f>AND('3rd Grade'!A38,"AAAAAH0/3EA=")</f>
        <v>#VALUE!</v>
      </c>
      <c r="BN3" t="e">
        <f>AND('3rd Grade'!B38,"AAAAAH0/3EE=")</f>
        <v>#VALUE!</v>
      </c>
      <c r="BO3" t="e">
        <f>AND('3rd Grade'!C38,"AAAAAH0/3EI=")</f>
        <v>#VALUE!</v>
      </c>
      <c r="BP3">
        <f>IF('3rd Grade'!41:41,"AAAAAH0/3EM=",0)</f>
        <v>0</v>
      </c>
      <c r="BQ3" t="e">
        <f>AND('3rd Grade'!A41,"AAAAAH0/3EQ=")</f>
        <v>#VALUE!</v>
      </c>
      <c r="BR3" t="e">
        <f>AND('3rd Grade'!B41,"AAAAAH0/3EU=")</f>
        <v>#VALUE!</v>
      </c>
      <c r="BS3" t="e">
        <f>AND('3rd Grade'!C41,"AAAAAH0/3EY=")</f>
        <v>#VALUE!</v>
      </c>
      <c r="BT3">
        <f>IF('3rd Grade'!47:47,"AAAAAH0/3Ec=",0)</f>
        <v>0</v>
      </c>
      <c r="BU3" t="e">
        <f>AND('3rd Grade'!A47,"AAAAAH0/3Eg=")</f>
        <v>#VALUE!</v>
      </c>
      <c r="BV3" t="e">
        <f>AND('3rd Grade'!B47,"AAAAAH0/3Ek=")</f>
        <v>#VALUE!</v>
      </c>
      <c r="BW3" t="e">
        <f>AND('3rd Grade'!C47,"AAAAAH0/3Eo=")</f>
        <v>#VALUE!</v>
      </c>
      <c r="BX3">
        <f>IF('3rd Grade'!48:48,"AAAAAH0/3Es=",0)</f>
        <v>0</v>
      </c>
      <c r="BY3" t="e">
        <f>AND('3rd Grade'!A48,"AAAAAH0/3Ew=")</f>
        <v>#VALUE!</v>
      </c>
      <c r="BZ3" t="e">
        <f>AND('3rd Grade'!B48,"AAAAAH0/3E0=")</f>
        <v>#VALUE!</v>
      </c>
      <c r="CA3" t="e">
        <f>AND('3rd Grade'!C48,"AAAAAH0/3E4=")</f>
        <v>#VALUE!</v>
      </c>
      <c r="CB3">
        <f>IF('3rd Grade'!50:50,"AAAAAH0/3E8=",0)</f>
        <v>0</v>
      </c>
      <c r="CC3" t="e">
        <f>AND('3rd Grade'!A50,"AAAAAH0/3FA=")</f>
        <v>#VALUE!</v>
      </c>
      <c r="CD3" t="e">
        <f>AND('3rd Grade'!B50,"AAAAAH0/3FE=")</f>
        <v>#VALUE!</v>
      </c>
      <c r="CE3" t="e">
        <f>AND('3rd Grade'!C50,"AAAAAH0/3FI=")</f>
        <v>#VALUE!</v>
      </c>
      <c r="CF3">
        <f>IF('3rd Grade'!51:51,"AAAAAH0/3FM=",0)</f>
        <v>0</v>
      </c>
      <c r="CG3" t="e">
        <f>AND('3rd Grade'!A51,"AAAAAH0/3FQ=")</f>
        <v>#VALUE!</v>
      </c>
      <c r="CH3" t="e">
        <f>AND('3rd Grade'!B51,"AAAAAH0/3FU=")</f>
        <v>#VALUE!</v>
      </c>
      <c r="CI3" t="e">
        <f>AND('3rd Grade'!C51,"AAAAAH0/3FY=")</f>
        <v>#VALUE!</v>
      </c>
      <c r="CJ3">
        <f>IF('3rd Grade'!61:61,"AAAAAH0/3Fc=",0)</f>
        <v>0</v>
      </c>
      <c r="CK3" t="e">
        <f>AND('3rd Grade'!A61,"AAAAAH0/3Fg=")</f>
        <v>#VALUE!</v>
      </c>
      <c r="CL3" t="e">
        <f>AND('3rd Grade'!B61,"AAAAAH0/3Fk=")</f>
        <v>#VALUE!</v>
      </c>
      <c r="CM3" t="e">
        <f>AND('3rd Grade'!C61,"AAAAAH0/3Fo=")</f>
        <v>#VALUE!</v>
      </c>
      <c r="CN3">
        <f>IF('3rd Grade'!62:62,"AAAAAH0/3Fs=",0)</f>
        <v>0</v>
      </c>
      <c r="CO3" t="e">
        <f>AND('3rd Grade'!A62,"AAAAAH0/3Fw=")</f>
        <v>#VALUE!</v>
      </c>
      <c r="CP3" t="e">
        <f>AND('3rd Grade'!B62,"AAAAAH0/3F0=")</f>
        <v>#VALUE!</v>
      </c>
      <c r="CQ3" t="e">
        <f>AND('3rd Grade'!C62,"AAAAAH0/3F4=")</f>
        <v>#VALUE!</v>
      </c>
      <c r="CR3" t="e">
        <f>IF('3rd Grade'!#REF!,"AAAAAH0/3F8=",0)</f>
        <v>#REF!</v>
      </c>
      <c r="CS3" t="e">
        <f>AND('3rd Grade'!#REF!,"AAAAAH0/3GA=")</f>
        <v>#REF!</v>
      </c>
      <c r="CT3" t="e">
        <f>AND('3rd Grade'!#REF!,"AAAAAH0/3GE=")</f>
        <v>#REF!</v>
      </c>
      <c r="CU3" t="e">
        <f>AND('3rd Grade'!#REF!,"AAAAAH0/3GI=")</f>
        <v>#REF!</v>
      </c>
      <c r="CV3">
        <f>IF('3rd Grade'!63:63,"AAAAAH0/3GM=",0)</f>
        <v>0</v>
      </c>
      <c r="CW3" t="e">
        <f>AND('3rd Grade'!A63,"AAAAAH0/3GQ=")</f>
        <v>#VALUE!</v>
      </c>
      <c r="CX3" t="e">
        <f>AND('3rd Grade'!B63,"AAAAAH0/3GU=")</f>
        <v>#VALUE!</v>
      </c>
      <c r="CY3" t="e">
        <f>AND('3rd Grade'!C63,"AAAAAH0/3GY=")</f>
        <v>#VALUE!</v>
      </c>
      <c r="CZ3">
        <f>IF('3rd Grade'!64:64,"AAAAAH0/3Gc=",0)</f>
        <v>0</v>
      </c>
      <c r="DA3" t="e">
        <f>AND('3rd Grade'!A64,"AAAAAH0/3Gg=")</f>
        <v>#VALUE!</v>
      </c>
      <c r="DB3" t="e">
        <f>AND('3rd Grade'!B64,"AAAAAH0/3Gk=")</f>
        <v>#VALUE!</v>
      </c>
      <c r="DC3" t="e">
        <f>AND('3rd Grade'!C64,"AAAAAH0/3Go=")</f>
        <v>#VALUE!</v>
      </c>
      <c r="DD3">
        <f>IF('3rd Grade'!65:65,"AAAAAH0/3Gs=",0)</f>
        <v>0</v>
      </c>
      <c r="DE3" t="e">
        <f>AND('3rd Grade'!A65,"AAAAAH0/3Gw=")</f>
        <v>#VALUE!</v>
      </c>
      <c r="DF3" t="e">
        <f>AND('3rd Grade'!B65,"AAAAAH0/3G0=")</f>
        <v>#VALUE!</v>
      </c>
      <c r="DG3" t="e">
        <f>AND('3rd Grade'!C65,"AAAAAH0/3G4=")</f>
        <v>#VALUE!</v>
      </c>
      <c r="DH3">
        <f>IF('3rd Grade'!66:66,"AAAAAH0/3G8=",0)</f>
        <v>0</v>
      </c>
      <c r="DI3" t="e">
        <f>AND('3rd Grade'!A66,"AAAAAH0/3HA=")</f>
        <v>#VALUE!</v>
      </c>
      <c r="DJ3" t="e">
        <f>AND('3rd Grade'!B66,"AAAAAH0/3HE=")</f>
        <v>#VALUE!</v>
      </c>
      <c r="DK3" t="e">
        <f>AND('3rd Grade'!C66,"AAAAAH0/3HI=")</f>
        <v>#VALUE!</v>
      </c>
      <c r="DL3">
        <f>IF('3rd Grade'!68:68,"AAAAAH0/3HM=",0)</f>
        <v>0</v>
      </c>
      <c r="DM3" t="e">
        <f>AND('3rd Grade'!A68,"AAAAAH0/3HQ=")</f>
        <v>#VALUE!</v>
      </c>
      <c r="DN3" t="e">
        <f>AND('3rd Grade'!B68,"AAAAAH0/3HU=")</f>
        <v>#VALUE!</v>
      </c>
      <c r="DO3" t="e">
        <f>AND('3rd Grade'!C68,"AAAAAH0/3HY=")</f>
        <v>#VALUE!</v>
      </c>
      <c r="DP3">
        <f>IF('3rd Grade'!69:69,"AAAAAH0/3Hc=",0)</f>
        <v>0</v>
      </c>
      <c r="DQ3" t="e">
        <f>AND('3rd Grade'!A69,"AAAAAH0/3Hg=")</f>
        <v>#VALUE!</v>
      </c>
      <c r="DR3" t="e">
        <f>AND('3rd Grade'!B69,"AAAAAH0/3Hk=")</f>
        <v>#VALUE!</v>
      </c>
      <c r="DS3" t="e">
        <f>AND('3rd Grade'!C69,"AAAAAH0/3Ho=")</f>
        <v>#VALUE!</v>
      </c>
      <c r="DT3">
        <f>IF('3rd Grade'!72:72,"AAAAAH0/3Hs=",0)</f>
        <v>0</v>
      </c>
      <c r="DU3" t="e">
        <f>AND('3rd Grade'!A72,"AAAAAH0/3Hw=")</f>
        <v>#VALUE!</v>
      </c>
      <c r="DV3" t="e">
        <f>AND('3rd Grade'!B72,"AAAAAH0/3H0=")</f>
        <v>#VALUE!</v>
      </c>
      <c r="DW3" t="e">
        <f>AND('3rd Grade'!C72,"AAAAAH0/3H4=")</f>
        <v>#VALUE!</v>
      </c>
      <c r="DX3">
        <f>IF('3rd Grade'!74:74,"AAAAAH0/3H8=",0)</f>
        <v>0</v>
      </c>
      <c r="DY3" t="e">
        <f>AND('3rd Grade'!A74,"AAAAAH0/3IA=")</f>
        <v>#VALUE!</v>
      </c>
      <c r="DZ3" t="e">
        <f>AND('3rd Grade'!B74,"AAAAAH0/3IE=")</f>
        <v>#VALUE!</v>
      </c>
      <c r="EA3" t="e">
        <f>AND('3rd Grade'!C74,"AAAAAH0/3II=")</f>
        <v>#VALUE!</v>
      </c>
      <c r="EB3">
        <f>IF('3rd Grade'!75:75,"AAAAAH0/3IM=",0)</f>
        <v>0</v>
      </c>
      <c r="EC3" t="e">
        <f>AND('3rd Grade'!A75,"AAAAAH0/3IQ=")</f>
        <v>#VALUE!</v>
      </c>
      <c r="ED3" t="e">
        <f>AND('3rd Grade'!B75,"AAAAAH0/3IU=")</f>
        <v>#VALUE!</v>
      </c>
      <c r="EE3" t="e">
        <f>AND('3rd Grade'!C75,"AAAAAH0/3IY=")</f>
        <v>#VALUE!</v>
      </c>
      <c r="EF3" t="e">
        <f>IF('3rd Grade'!#REF!,"AAAAAH0/3Ic=",0)</f>
        <v>#REF!</v>
      </c>
      <c r="EG3" t="e">
        <f>AND('3rd Grade'!#REF!,"AAAAAH0/3Ig=")</f>
        <v>#REF!</v>
      </c>
      <c r="EH3" t="e">
        <f>AND('3rd Grade'!#REF!,"AAAAAH0/3Ik=")</f>
        <v>#REF!</v>
      </c>
      <c r="EI3" t="e">
        <f>AND('3rd Grade'!#REF!,"AAAAAH0/3Io=")</f>
        <v>#REF!</v>
      </c>
      <c r="EJ3" t="e">
        <f>IF('3rd Grade'!#REF!,"AAAAAH0/3Is=",0)</f>
        <v>#REF!</v>
      </c>
      <c r="EK3" t="e">
        <f>AND('3rd Grade'!#REF!,"AAAAAH0/3Iw=")</f>
        <v>#REF!</v>
      </c>
      <c r="EL3" t="e">
        <f>AND('3rd Grade'!#REF!,"AAAAAH0/3I0=")</f>
        <v>#REF!</v>
      </c>
      <c r="EM3" t="e">
        <f>AND('3rd Grade'!#REF!,"AAAAAH0/3I4=")</f>
        <v>#REF!</v>
      </c>
      <c r="EN3">
        <f>IF('3rd Grade'!77:77,"AAAAAH0/3I8=",0)</f>
        <v>0</v>
      </c>
      <c r="EO3" t="e">
        <f>AND('3rd Grade'!A77,"AAAAAH0/3JA=")</f>
        <v>#VALUE!</v>
      </c>
      <c r="EP3" t="e">
        <f>AND('3rd Grade'!B77,"AAAAAH0/3JE=")</f>
        <v>#VALUE!</v>
      </c>
      <c r="EQ3" t="e">
        <f>AND('3rd Grade'!C77,"AAAAAH0/3JI=")</f>
        <v>#VALUE!</v>
      </c>
      <c r="ER3">
        <f>IF('3rd Grade'!78:78,"AAAAAH0/3JM=",0)</f>
        <v>0</v>
      </c>
      <c r="ES3" t="e">
        <f>AND('3rd Grade'!A78,"AAAAAH0/3JQ=")</f>
        <v>#VALUE!</v>
      </c>
      <c r="ET3" t="e">
        <f>AND('3rd Grade'!B78,"AAAAAH0/3JU=")</f>
        <v>#VALUE!</v>
      </c>
      <c r="EU3" t="e">
        <f>AND('3rd Grade'!C78,"AAAAAH0/3JY=")</f>
        <v>#VALUE!</v>
      </c>
      <c r="EV3" t="e">
        <f>IF('3rd Grade'!#REF!,"AAAAAH0/3Jc=",0)</f>
        <v>#REF!</v>
      </c>
      <c r="EW3" t="e">
        <f>AND('3rd Grade'!#REF!,"AAAAAH0/3Jg=")</f>
        <v>#REF!</v>
      </c>
      <c r="EX3" t="e">
        <f>AND('3rd Grade'!#REF!,"AAAAAH0/3Jk=")</f>
        <v>#REF!</v>
      </c>
      <c r="EY3" t="e">
        <f>AND('3rd Grade'!#REF!,"AAAAAH0/3Jo=")</f>
        <v>#REF!</v>
      </c>
      <c r="EZ3" t="e">
        <f>IF('3rd Grade'!#REF!,"AAAAAH0/3Js=",0)</f>
        <v>#REF!</v>
      </c>
      <c r="FA3" t="e">
        <f>AND('3rd Grade'!#REF!,"AAAAAH0/3Jw=")</f>
        <v>#REF!</v>
      </c>
      <c r="FB3" t="e">
        <f>AND('3rd Grade'!#REF!,"AAAAAH0/3J0=")</f>
        <v>#REF!</v>
      </c>
      <c r="FC3" t="e">
        <f>AND('3rd Grade'!#REF!,"AAAAAH0/3J4=")</f>
        <v>#REF!</v>
      </c>
      <c r="FD3" t="e">
        <f>IF('3rd Grade'!#REF!,"AAAAAH0/3J8=",0)</f>
        <v>#REF!</v>
      </c>
      <c r="FE3" t="e">
        <f>AND('3rd Grade'!#REF!,"AAAAAH0/3KA=")</f>
        <v>#REF!</v>
      </c>
      <c r="FF3" t="e">
        <f>AND('3rd Grade'!#REF!,"AAAAAH0/3KE=")</f>
        <v>#REF!</v>
      </c>
      <c r="FG3" t="e">
        <f>AND('3rd Grade'!#REF!,"AAAAAH0/3KI=")</f>
        <v>#REF!</v>
      </c>
      <c r="FH3" t="e">
        <f>IF('3rd Grade'!#REF!,"AAAAAH0/3KM=",0)</f>
        <v>#REF!</v>
      </c>
      <c r="FI3" t="e">
        <f>AND('3rd Grade'!#REF!,"AAAAAH0/3KQ=")</f>
        <v>#REF!</v>
      </c>
      <c r="FJ3" t="e">
        <f>AND('3rd Grade'!#REF!,"AAAAAH0/3KU=")</f>
        <v>#REF!</v>
      </c>
      <c r="FK3" t="e">
        <f>AND('3rd Grade'!#REF!,"AAAAAH0/3KY=")</f>
        <v>#REF!</v>
      </c>
      <c r="FL3">
        <f>IF('3rd Grade'!79:79,"AAAAAH0/3Kc=",0)</f>
        <v>0</v>
      </c>
      <c r="FM3" t="e">
        <f>AND('3rd Grade'!A79,"AAAAAH0/3Kg=")</f>
        <v>#VALUE!</v>
      </c>
      <c r="FN3" t="e">
        <f>AND('3rd Grade'!B79,"AAAAAH0/3Kk=")</f>
        <v>#VALUE!</v>
      </c>
      <c r="FO3" t="e">
        <f>AND('3rd Grade'!C79,"AAAAAH0/3Ko=")</f>
        <v>#VALUE!</v>
      </c>
      <c r="FP3">
        <f>IF('3rd Grade'!88:88,"AAAAAH0/3Ks=",0)</f>
        <v>0</v>
      </c>
      <c r="FQ3" t="e">
        <f>AND('3rd Grade'!A88,"AAAAAH0/3Kw=")</f>
        <v>#VALUE!</v>
      </c>
      <c r="FR3" t="e">
        <f>AND('3rd Grade'!B88,"AAAAAH0/3K0=")</f>
        <v>#VALUE!</v>
      </c>
      <c r="FS3" t="e">
        <f>AND('3rd Grade'!C88,"AAAAAH0/3K4=")</f>
        <v>#VALUE!</v>
      </c>
      <c r="FT3" t="e">
        <f>IF('3rd Grade'!#REF!,"AAAAAH0/3K8=",0)</f>
        <v>#REF!</v>
      </c>
      <c r="FU3" t="e">
        <f>AND('3rd Grade'!#REF!,"AAAAAH0/3LA=")</f>
        <v>#REF!</v>
      </c>
      <c r="FV3" t="e">
        <f>AND('3rd Grade'!#REF!,"AAAAAH0/3LE=")</f>
        <v>#REF!</v>
      </c>
      <c r="FW3" t="e">
        <f>AND('3rd Grade'!#REF!,"AAAAAH0/3LI=")</f>
        <v>#REF!</v>
      </c>
      <c r="FX3">
        <f>IF('3rd Grade'!89:89,"AAAAAH0/3LM=",0)</f>
        <v>0</v>
      </c>
      <c r="FY3" t="e">
        <f>AND('3rd Grade'!A89,"AAAAAH0/3LQ=")</f>
        <v>#VALUE!</v>
      </c>
      <c r="FZ3" t="e">
        <f>AND('3rd Grade'!B89,"AAAAAH0/3LU=")</f>
        <v>#VALUE!</v>
      </c>
      <c r="GA3" t="e">
        <f>AND('3rd Grade'!C89,"AAAAAH0/3LY=")</f>
        <v>#VALUE!</v>
      </c>
      <c r="GB3">
        <f>IF('3rd Grade'!96:96,"AAAAAH0/3Lc=",0)</f>
        <v>0</v>
      </c>
      <c r="GC3" t="e">
        <f>AND('3rd Grade'!A96,"AAAAAH0/3Lg=")</f>
        <v>#VALUE!</v>
      </c>
      <c r="GD3" t="e">
        <f>AND('3rd Grade'!B96,"AAAAAH0/3Lk=")</f>
        <v>#VALUE!</v>
      </c>
      <c r="GE3" t="e">
        <f>AND('3rd Grade'!C96,"AAAAAH0/3Lo=")</f>
        <v>#VALUE!</v>
      </c>
      <c r="GF3" t="e">
        <f>IF('3rd Grade'!#REF!,"AAAAAH0/3Ls=",0)</f>
        <v>#REF!</v>
      </c>
      <c r="GG3" t="e">
        <f>AND('3rd Grade'!#REF!,"AAAAAH0/3Lw=")</f>
        <v>#REF!</v>
      </c>
      <c r="GH3" t="e">
        <f>AND('3rd Grade'!#REF!,"AAAAAH0/3L0=")</f>
        <v>#REF!</v>
      </c>
      <c r="GI3" t="e">
        <f>AND('3rd Grade'!#REF!,"AAAAAH0/3L4=")</f>
        <v>#REF!</v>
      </c>
      <c r="GJ3" t="e">
        <f>IF('3rd Grade'!#REF!,"AAAAAH0/3L8=",0)</f>
        <v>#REF!</v>
      </c>
      <c r="GK3" t="e">
        <f>AND('3rd Grade'!#REF!,"AAAAAH0/3MA=")</f>
        <v>#REF!</v>
      </c>
      <c r="GL3" t="e">
        <f>AND('3rd Grade'!#REF!,"AAAAAH0/3ME=")</f>
        <v>#REF!</v>
      </c>
      <c r="GM3" t="e">
        <f>AND('3rd Grade'!#REF!,"AAAAAH0/3MI=")</f>
        <v>#REF!</v>
      </c>
      <c r="GN3">
        <f>IF('3rd Grade'!97:97,"AAAAAH0/3MM=",0)</f>
        <v>0</v>
      </c>
      <c r="GO3" t="e">
        <f>AND('3rd Grade'!A97,"AAAAAH0/3MQ=")</f>
        <v>#VALUE!</v>
      </c>
      <c r="GP3" t="e">
        <f>AND('3rd Grade'!B97,"AAAAAH0/3MU=")</f>
        <v>#VALUE!</v>
      </c>
      <c r="GQ3" t="e">
        <f>AND('3rd Grade'!C97,"AAAAAH0/3MY=")</f>
        <v>#VALUE!</v>
      </c>
      <c r="GR3" t="e">
        <f>IF('3rd Grade'!#REF!,"AAAAAH0/3Mc=",0)</f>
        <v>#REF!</v>
      </c>
      <c r="GS3" t="e">
        <f>AND('3rd Grade'!#REF!,"AAAAAH0/3Mg=")</f>
        <v>#REF!</v>
      </c>
      <c r="GT3" t="e">
        <f>AND('3rd Grade'!#REF!,"AAAAAH0/3Mk=")</f>
        <v>#REF!</v>
      </c>
      <c r="GU3" t="e">
        <f>AND('3rd Grade'!#REF!,"AAAAAH0/3Mo=")</f>
        <v>#REF!</v>
      </c>
      <c r="GV3" t="e">
        <f>IF('3rd Grade'!#REF!,"AAAAAH0/3Ms=",0)</f>
        <v>#REF!</v>
      </c>
      <c r="GW3" t="e">
        <f>AND('3rd Grade'!#REF!,"AAAAAH0/3Mw=")</f>
        <v>#REF!</v>
      </c>
      <c r="GX3" t="e">
        <f>AND('3rd Grade'!#REF!,"AAAAAH0/3M0=")</f>
        <v>#REF!</v>
      </c>
      <c r="GY3" t="e">
        <f>AND('3rd Grade'!#REF!,"AAAAAH0/3M4=")</f>
        <v>#REF!</v>
      </c>
      <c r="GZ3" t="e">
        <f>IF('3rd Grade'!#REF!,"AAAAAH0/3M8=",0)</f>
        <v>#REF!</v>
      </c>
      <c r="HA3" t="e">
        <f>AND('3rd Grade'!#REF!,"AAAAAH0/3NA=")</f>
        <v>#REF!</v>
      </c>
      <c r="HB3" t="e">
        <f>AND('3rd Grade'!#REF!,"AAAAAH0/3NE=")</f>
        <v>#REF!</v>
      </c>
      <c r="HC3" t="e">
        <f>AND('3rd Grade'!#REF!,"AAAAAH0/3NI=")</f>
        <v>#REF!</v>
      </c>
      <c r="HD3" t="e">
        <f>IF('3rd Grade'!#REF!,"AAAAAH0/3NM=",0)</f>
        <v>#REF!</v>
      </c>
      <c r="HE3" t="e">
        <f>AND('3rd Grade'!#REF!,"AAAAAH0/3NQ=")</f>
        <v>#REF!</v>
      </c>
      <c r="HF3" t="e">
        <f>AND('3rd Grade'!#REF!,"AAAAAH0/3NU=")</f>
        <v>#REF!</v>
      </c>
      <c r="HG3" t="e">
        <f>AND('3rd Grade'!#REF!,"AAAAAH0/3NY=")</f>
        <v>#REF!</v>
      </c>
      <c r="HH3" t="e">
        <f>IF('3rd Grade'!#REF!,"AAAAAH0/3Nc=",0)</f>
        <v>#REF!</v>
      </c>
      <c r="HI3" t="e">
        <f>AND('3rd Grade'!#REF!,"AAAAAH0/3Ng=")</f>
        <v>#REF!</v>
      </c>
      <c r="HJ3" t="e">
        <f>AND('3rd Grade'!#REF!,"AAAAAH0/3Nk=")</f>
        <v>#REF!</v>
      </c>
      <c r="HK3" t="e">
        <f>AND('3rd Grade'!#REF!,"AAAAAH0/3No=")</f>
        <v>#REF!</v>
      </c>
      <c r="HL3" t="e">
        <f>IF('3rd Grade'!#REF!,"AAAAAH0/3Ns=",0)</f>
        <v>#REF!</v>
      </c>
      <c r="HM3" t="e">
        <f>AND('3rd Grade'!#REF!,"AAAAAH0/3Nw=")</f>
        <v>#REF!</v>
      </c>
      <c r="HN3" t="e">
        <f>AND('3rd Grade'!#REF!,"AAAAAH0/3N0=")</f>
        <v>#REF!</v>
      </c>
      <c r="HO3" t="e">
        <f>AND('3rd Grade'!#REF!,"AAAAAH0/3N4=")</f>
        <v>#REF!</v>
      </c>
      <c r="HP3" t="e">
        <f>IF('3rd Grade'!#REF!,"AAAAAH0/3N8=",0)</f>
        <v>#REF!</v>
      </c>
      <c r="HQ3" t="e">
        <f>AND('3rd Grade'!#REF!,"AAAAAH0/3OA=")</f>
        <v>#REF!</v>
      </c>
      <c r="HR3" t="e">
        <f>AND('3rd Grade'!#REF!,"AAAAAH0/3OE=")</f>
        <v>#REF!</v>
      </c>
      <c r="HS3" t="e">
        <f>AND('3rd Grade'!#REF!,"AAAAAH0/3OI=")</f>
        <v>#REF!</v>
      </c>
      <c r="HT3" t="e">
        <f>IF('3rd Grade'!#REF!,"AAAAAH0/3OM=",0)</f>
        <v>#REF!</v>
      </c>
      <c r="HU3" t="e">
        <f>AND('3rd Grade'!#REF!,"AAAAAH0/3OQ=")</f>
        <v>#REF!</v>
      </c>
      <c r="HV3" t="e">
        <f>AND('3rd Grade'!#REF!,"AAAAAH0/3OU=")</f>
        <v>#REF!</v>
      </c>
      <c r="HW3" t="e">
        <f>AND('3rd Grade'!#REF!,"AAAAAH0/3OY=")</f>
        <v>#REF!</v>
      </c>
      <c r="HX3">
        <f>IF('3rd Grade'!103:103,"AAAAAH0/3Oc=",0)</f>
        <v>0</v>
      </c>
      <c r="HY3" t="e">
        <f>AND('3rd Grade'!A103,"AAAAAH0/3Og=")</f>
        <v>#VALUE!</v>
      </c>
      <c r="HZ3" t="e">
        <f>AND('3rd Grade'!B103,"AAAAAH0/3Ok=")</f>
        <v>#VALUE!</v>
      </c>
      <c r="IA3" t="e">
        <f>AND('3rd Grade'!C103,"AAAAAH0/3Oo=")</f>
        <v>#VALUE!</v>
      </c>
      <c r="IB3" t="e">
        <f>IF('3rd Grade'!#REF!,"AAAAAH0/3Os=",0)</f>
        <v>#REF!</v>
      </c>
      <c r="IC3" t="e">
        <f>AND('3rd Grade'!#REF!,"AAAAAH0/3Ow=")</f>
        <v>#REF!</v>
      </c>
      <c r="ID3" t="e">
        <f>AND('3rd Grade'!#REF!,"AAAAAH0/3O0=")</f>
        <v>#REF!</v>
      </c>
      <c r="IE3" t="e">
        <f>AND('3rd Grade'!#REF!,"AAAAAH0/3O4=")</f>
        <v>#REF!</v>
      </c>
      <c r="IF3">
        <f>IF('3rd Grade'!104:104,"AAAAAH0/3O8=",0)</f>
        <v>0</v>
      </c>
      <c r="IG3" t="e">
        <f>AND('3rd Grade'!A104,"AAAAAH0/3PA=")</f>
        <v>#VALUE!</v>
      </c>
      <c r="IH3" t="e">
        <f>AND('3rd Grade'!B104,"AAAAAH0/3PE=")</f>
        <v>#VALUE!</v>
      </c>
      <c r="II3" t="e">
        <f>AND('3rd Grade'!C104,"AAAAAH0/3PI=")</f>
        <v>#VALUE!</v>
      </c>
      <c r="IJ3" t="e">
        <f>IF('3rd Grade'!#REF!,"AAAAAH0/3PM=",0)</f>
        <v>#REF!</v>
      </c>
      <c r="IK3" t="e">
        <f>AND('3rd Grade'!#REF!,"AAAAAH0/3PQ=")</f>
        <v>#REF!</v>
      </c>
      <c r="IL3" t="e">
        <f>AND('3rd Grade'!#REF!,"AAAAAH0/3PU=")</f>
        <v>#REF!</v>
      </c>
      <c r="IM3" t="e">
        <f>AND('3rd Grade'!#REF!,"AAAAAH0/3PY=")</f>
        <v>#REF!</v>
      </c>
      <c r="IN3">
        <f>IF('3rd Grade'!105:105,"AAAAAH0/3Pc=",0)</f>
        <v>0</v>
      </c>
      <c r="IO3" t="e">
        <f>AND('3rd Grade'!A105,"AAAAAH0/3Pg=")</f>
        <v>#VALUE!</v>
      </c>
      <c r="IP3" t="e">
        <f>AND('3rd Grade'!B105,"AAAAAH0/3Pk=")</f>
        <v>#VALUE!</v>
      </c>
      <c r="IQ3" t="e">
        <f>AND('3rd Grade'!C105,"AAAAAH0/3Po=")</f>
        <v>#VALUE!</v>
      </c>
      <c r="IR3" t="e">
        <f>IF('3rd Grade'!#REF!,"AAAAAH0/3Ps=",0)</f>
        <v>#REF!</v>
      </c>
      <c r="IS3" t="e">
        <f>AND('3rd Grade'!#REF!,"AAAAAH0/3Pw=")</f>
        <v>#REF!</v>
      </c>
      <c r="IT3" t="e">
        <f>AND('3rd Grade'!#REF!,"AAAAAH0/3P0=")</f>
        <v>#REF!</v>
      </c>
      <c r="IU3" t="e">
        <f>AND('3rd Grade'!#REF!,"AAAAAH0/3P4=")</f>
        <v>#REF!</v>
      </c>
      <c r="IV3">
        <f>IF('3rd Grade'!106:106,"AAAAAH0/3P8=",0)</f>
        <v>0</v>
      </c>
    </row>
    <row r="4" spans="1:256">
      <c r="A4" t="e">
        <f>AND('3rd Grade'!A106,"AAAAAF/qewA=")</f>
        <v>#VALUE!</v>
      </c>
      <c r="B4" t="e">
        <f>AND('3rd Grade'!B106,"AAAAAF/qewE=")</f>
        <v>#VALUE!</v>
      </c>
      <c r="C4" t="e">
        <f>AND('3rd Grade'!C106,"AAAAAF/qewI=")</f>
        <v>#VALUE!</v>
      </c>
      <c r="D4" t="e">
        <f>IF('3rd Grade'!#REF!,"AAAAAF/qewM=",0)</f>
        <v>#REF!</v>
      </c>
      <c r="E4" t="e">
        <f>AND('3rd Grade'!#REF!,"AAAAAF/qewQ=")</f>
        <v>#REF!</v>
      </c>
      <c r="F4" t="e">
        <f>AND('3rd Grade'!#REF!,"AAAAAF/qewU=")</f>
        <v>#REF!</v>
      </c>
      <c r="G4" t="e">
        <f>AND('3rd Grade'!#REF!,"AAAAAF/qewY=")</f>
        <v>#REF!</v>
      </c>
      <c r="H4" t="e">
        <f>IF('3rd Grade'!#REF!,"AAAAAF/qewc=",0)</f>
        <v>#REF!</v>
      </c>
      <c r="I4" t="e">
        <f>AND('3rd Grade'!#REF!,"AAAAAF/qewg=")</f>
        <v>#REF!</v>
      </c>
      <c r="J4" t="e">
        <f>AND('3rd Grade'!#REF!,"AAAAAF/qewk=")</f>
        <v>#REF!</v>
      </c>
      <c r="K4" t="e">
        <f>AND('3rd Grade'!#REF!,"AAAAAF/qewo=")</f>
        <v>#REF!</v>
      </c>
      <c r="L4" t="e">
        <f>IF('3rd Grade'!#REF!,"AAAAAF/qews=",0)</f>
        <v>#REF!</v>
      </c>
      <c r="M4" t="e">
        <f>AND('3rd Grade'!#REF!,"AAAAAF/qeww=")</f>
        <v>#REF!</v>
      </c>
      <c r="N4" t="e">
        <f>AND('3rd Grade'!#REF!,"AAAAAF/qew0=")</f>
        <v>#REF!</v>
      </c>
      <c r="O4" t="e">
        <f>AND('3rd Grade'!#REF!,"AAAAAF/qew4=")</f>
        <v>#REF!</v>
      </c>
      <c r="P4" t="e">
        <f>IF('3rd Grade'!#REF!,"AAAAAF/qew8=",0)</f>
        <v>#REF!</v>
      </c>
      <c r="Q4" t="e">
        <f>AND('3rd Grade'!#REF!,"AAAAAF/qexA=")</f>
        <v>#REF!</v>
      </c>
      <c r="R4" t="e">
        <f>AND('3rd Grade'!#REF!,"AAAAAF/qexE=")</f>
        <v>#REF!</v>
      </c>
      <c r="S4" t="e">
        <f>AND('3rd Grade'!#REF!,"AAAAAF/qexI=")</f>
        <v>#REF!</v>
      </c>
      <c r="T4" t="e">
        <f>IF('3rd Grade'!#REF!,"AAAAAF/qexM=",0)</f>
        <v>#REF!</v>
      </c>
      <c r="U4" t="e">
        <f>AND('3rd Grade'!#REF!,"AAAAAF/qexQ=")</f>
        <v>#REF!</v>
      </c>
      <c r="V4" t="e">
        <f>AND('3rd Grade'!#REF!,"AAAAAF/qexU=")</f>
        <v>#REF!</v>
      </c>
      <c r="W4" t="e">
        <f>AND('3rd Grade'!#REF!,"AAAAAF/qexY=")</f>
        <v>#REF!</v>
      </c>
      <c r="X4" t="e">
        <f>IF('3rd Grade'!#REF!,"AAAAAF/qexc=",0)</f>
        <v>#REF!</v>
      </c>
      <c r="Y4" t="e">
        <f>AND('3rd Grade'!#REF!,"AAAAAF/qexg=")</f>
        <v>#REF!</v>
      </c>
      <c r="Z4" t="e">
        <f>AND('3rd Grade'!#REF!,"AAAAAF/qexk=")</f>
        <v>#REF!</v>
      </c>
      <c r="AA4" t="e">
        <f>AND('3rd Grade'!#REF!,"AAAAAF/qexo=")</f>
        <v>#REF!</v>
      </c>
      <c r="AB4">
        <f>IF('3rd Grade'!107:107,"AAAAAF/qexs=",0)</f>
        <v>0</v>
      </c>
      <c r="AC4" t="e">
        <f>AND('3rd Grade'!A107,"AAAAAF/qexw=")</f>
        <v>#VALUE!</v>
      </c>
      <c r="AD4" t="e">
        <f>AND('3rd Grade'!B107,"AAAAAF/qex0=")</f>
        <v>#VALUE!</v>
      </c>
      <c r="AE4" t="e">
        <f>AND('3rd Grade'!C107,"AAAAAF/qex4=")</f>
        <v>#VALUE!</v>
      </c>
      <c r="AF4" t="e">
        <f>IF('3rd Grade'!#REF!,"AAAAAF/qex8=",0)</f>
        <v>#REF!</v>
      </c>
      <c r="AG4" t="e">
        <f>AND('3rd Grade'!#REF!,"AAAAAF/qeyA=")</f>
        <v>#REF!</v>
      </c>
      <c r="AH4" t="e">
        <f>AND('3rd Grade'!#REF!,"AAAAAF/qeyE=")</f>
        <v>#REF!</v>
      </c>
      <c r="AI4" t="e">
        <f>AND('3rd Grade'!#REF!,"AAAAAF/qeyI=")</f>
        <v>#REF!</v>
      </c>
      <c r="AJ4" t="e">
        <f>IF('3rd Grade'!#REF!,"AAAAAF/qeyM=",0)</f>
        <v>#REF!</v>
      </c>
      <c r="AK4" t="e">
        <f>AND('3rd Grade'!#REF!,"AAAAAF/qeyQ=")</f>
        <v>#REF!</v>
      </c>
      <c r="AL4" t="e">
        <f>AND('3rd Grade'!#REF!,"AAAAAF/qeyU=")</f>
        <v>#REF!</v>
      </c>
      <c r="AM4" t="e">
        <f>AND('3rd Grade'!#REF!,"AAAAAF/qeyY=")</f>
        <v>#REF!</v>
      </c>
      <c r="AN4" t="e">
        <f>IF('3rd Grade'!#REF!,"AAAAAF/qeyc=",0)</f>
        <v>#REF!</v>
      </c>
      <c r="AO4" t="e">
        <f>AND('3rd Grade'!#REF!,"AAAAAF/qeyg=")</f>
        <v>#REF!</v>
      </c>
      <c r="AP4" t="e">
        <f>AND('3rd Grade'!#REF!,"AAAAAF/qeyk=")</f>
        <v>#REF!</v>
      </c>
      <c r="AQ4" t="e">
        <f>AND('3rd Grade'!#REF!,"AAAAAF/qeyo=")</f>
        <v>#REF!</v>
      </c>
      <c r="AR4" t="e">
        <f>IF('3rd Grade'!#REF!,"AAAAAF/qeys=",0)</f>
        <v>#REF!</v>
      </c>
      <c r="AS4" t="e">
        <f>AND('3rd Grade'!#REF!,"AAAAAF/qeyw=")</f>
        <v>#REF!</v>
      </c>
      <c r="AT4" t="e">
        <f>AND('3rd Grade'!#REF!,"AAAAAF/qey0=")</f>
        <v>#REF!</v>
      </c>
      <c r="AU4" t="e">
        <f>AND('3rd Grade'!#REF!,"AAAAAF/qey4=")</f>
        <v>#REF!</v>
      </c>
      <c r="AV4">
        <f>IF('3rd Grade'!108:108,"AAAAAF/qey8=",0)</f>
        <v>0</v>
      </c>
      <c r="AW4" t="e">
        <f>AND('3rd Grade'!A108,"AAAAAF/qezA=")</f>
        <v>#VALUE!</v>
      </c>
      <c r="AX4" t="e">
        <f>AND('3rd Grade'!B108,"AAAAAF/qezE=")</f>
        <v>#VALUE!</v>
      </c>
      <c r="AY4" t="e">
        <f>AND('3rd Grade'!C108,"AAAAAF/qezI=")</f>
        <v>#VALUE!</v>
      </c>
      <c r="AZ4" t="e">
        <f>IF('3rd Grade'!#REF!,"AAAAAF/qezM=",0)</f>
        <v>#REF!</v>
      </c>
      <c r="BA4" t="e">
        <f>AND('3rd Grade'!#REF!,"AAAAAF/qezQ=")</f>
        <v>#REF!</v>
      </c>
      <c r="BB4" t="e">
        <f>AND('3rd Grade'!#REF!,"AAAAAF/qezU=")</f>
        <v>#REF!</v>
      </c>
      <c r="BC4" t="e">
        <f>AND('3rd Grade'!#REF!,"AAAAAF/qezY=")</f>
        <v>#REF!</v>
      </c>
      <c r="BD4" t="e">
        <f>IF('3rd Grade'!#REF!,"AAAAAF/qezc=",0)</f>
        <v>#REF!</v>
      </c>
      <c r="BE4" t="e">
        <f>AND('3rd Grade'!#REF!,"AAAAAF/qezg=")</f>
        <v>#REF!</v>
      </c>
      <c r="BF4" t="e">
        <f>AND('3rd Grade'!#REF!,"AAAAAF/qezk=")</f>
        <v>#REF!</v>
      </c>
      <c r="BG4" t="e">
        <f>AND('3rd Grade'!#REF!,"AAAAAF/qezo=")</f>
        <v>#REF!</v>
      </c>
      <c r="BH4">
        <f>IF('3rd Grade'!109:109,"AAAAAF/qezs=",0)</f>
        <v>0</v>
      </c>
      <c r="BI4" t="e">
        <f>AND('3rd Grade'!A109,"AAAAAF/qezw=")</f>
        <v>#VALUE!</v>
      </c>
      <c r="BJ4" t="e">
        <f>AND('3rd Grade'!B109,"AAAAAF/qez0=")</f>
        <v>#VALUE!</v>
      </c>
      <c r="BK4" t="e">
        <f>AND('3rd Grade'!C109,"AAAAAF/qez4=")</f>
        <v>#VALUE!</v>
      </c>
      <c r="BL4">
        <f>IF('3rd Grade'!111:111,"AAAAAF/qez8=",0)</f>
        <v>0</v>
      </c>
      <c r="BM4" t="e">
        <f>AND('3rd Grade'!A111,"AAAAAF/qe0A=")</f>
        <v>#VALUE!</v>
      </c>
      <c r="BN4" t="e">
        <f>AND('3rd Grade'!B111,"AAAAAF/qe0E=")</f>
        <v>#VALUE!</v>
      </c>
      <c r="BO4" t="e">
        <f>AND('3rd Grade'!C111,"AAAAAF/qe0I=")</f>
        <v>#VALUE!</v>
      </c>
      <c r="BP4">
        <f>IF('3rd Grade'!112:112,"AAAAAF/qe0M=",0)</f>
        <v>0</v>
      </c>
      <c r="BQ4" t="e">
        <f>AND('3rd Grade'!A112,"AAAAAF/qe0Q=")</f>
        <v>#VALUE!</v>
      </c>
      <c r="BR4" t="e">
        <f>AND('3rd Grade'!B112,"AAAAAF/qe0U=")</f>
        <v>#VALUE!</v>
      </c>
      <c r="BS4" t="e">
        <f>AND('3rd Grade'!C112,"AAAAAF/qe0Y=")</f>
        <v>#VALUE!</v>
      </c>
      <c r="BT4">
        <f>IF('3rd Grade'!115:115,"AAAAAF/qe0c=",0)</f>
        <v>0</v>
      </c>
      <c r="BU4" t="e">
        <f>AND('3rd Grade'!A115,"AAAAAF/qe0g=")</f>
        <v>#VALUE!</v>
      </c>
      <c r="BV4" t="e">
        <f>AND('3rd Grade'!B115,"AAAAAF/qe0k=")</f>
        <v>#VALUE!</v>
      </c>
      <c r="BW4" t="e">
        <f>AND('3rd Grade'!C115,"AAAAAF/qe0o=")</f>
        <v>#VALUE!</v>
      </c>
      <c r="BX4" t="e">
        <f>IF('3rd Grade'!#REF!,"AAAAAF/qe0s=",0)</f>
        <v>#REF!</v>
      </c>
      <c r="BY4" t="e">
        <f>AND('3rd Grade'!#REF!,"AAAAAF/qe0w=")</f>
        <v>#REF!</v>
      </c>
      <c r="BZ4" t="e">
        <f>AND('3rd Grade'!#REF!,"AAAAAF/qe00=")</f>
        <v>#REF!</v>
      </c>
      <c r="CA4" t="e">
        <f>AND('3rd Grade'!#REF!,"AAAAAF/qe04=")</f>
        <v>#REF!</v>
      </c>
      <c r="CB4">
        <f>IF('3rd Grade'!117:117,"AAAAAF/qe08=",0)</f>
        <v>0</v>
      </c>
      <c r="CC4" t="e">
        <f>AND('3rd Grade'!A117,"AAAAAF/qe1A=")</f>
        <v>#VALUE!</v>
      </c>
      <c r="CD4" t="e">
        <f>AND('3rd Grade'!B117,"AAAAAF/qe1E=")</f>
        <v>#VALUE!</v>
      </c>
      <c r="CE4" t="e">
        <f>AND('3rd Grade'!C117,"AAAAAF/qe1I=")</f>
        <v>#VALUE!</v>
      </c>
      <c r="CF4">
        <f>IF('3rd Grade'!118:118,"AAAAAF/qe1M=",0)</f>
        <v>0</v>
      </c>
      <c r="CG4" t="e">
        <f>AND('3rd Grade'!A118,"AAAAAF/qe1Q=")</f>
        <v>#VALUE!</v>
      </c>
      <c r="CH4" t="e">
        <f>AND('3rd Grade'!B118,"AAAAAF/qe1U=")</f>
        <v>#VALUE!</v>
      </c>
      <c r="CI4" t="e">
        <f>AND('3rd Grade'!C118,"AAAAAF/qe1Y=")</f>
        <v>#VALUE!</v>
      </c>
      <c r="CJ4">
        <f>IF('3rd Grade'!119:119,"AAAAAF/qe1c=",0)</f>
        <v>0</v>
      </c>
      <c r="CK4" t="e">
        <f>AND('3rd Grade'!A119,"AAAAAF/qe1g=")</f>
        <v>#VALUE!</v>
      </c>
      <c r="CL4" t="e">
        <f>AND('3rd Grade'!B119,"AAAAAF/qe1k=")</f>
        <v>#VALUE!</v>
      </c>
      <c r="CM4" t="e">
        <f>AND('3rd Grade'!C119,"AAAAAF/qe1o=")</f>
        <v>#VALUE!</v>
      </c>
      <c r="CN4">
        <f>IF('3rd Grade'!120:120,"AAAAAF/qe1s=",0)</f>
        <v>0</v>
      </c>
      <c r="CO4" t="e">
        <f>AND('3rd Grade'!A120,"AAAAAF/qe1w=")</f>
        <v>#VALUE!</v>
      </c>
      <c r="CP4" t="e">
        <f>AND('3rd Grade'!B120,"AAAAAF/qe10=")</f>
        <v>#VALUE!</v>
      </c>
      <c r="CQ4" t="e">
        <f>AND('3rd Grade'!C120,"AAAAAF/qe14=")</f>
        <v>#VALUE!</v>
      </c>
      <c r="CR4" t="e">
        <f>IF('3rd Grade'!#REF!,"AAAAAF/qe18=",0)</f>
        <v>#REF!</v>
      </c>
      <c r="CS4" t="e">
        <f>AND('3rd Grade'!#REF!,"AAAAAF/qe2A=")</f>
        <v>#REF!</v>
      </c>
      <c r="CT4" t="e">
        <f>AND('3rd Grade'!#REF!,"AAAAAF/qe2E=")</f>
        <v>#REF!</v>
      </c>
      <c r="CU4" t="e">
        <f>AND('3rd Grade'!#REF!,"AAAAAF/qe2I=")</f>
        <v>#REF!</v>
      </c>
      <c r="CV4" t="e">
        <f>IF('3rd Grade'!#REF!,"AAAAAF/qe2M=",0)</f>
        <v>#REF!</v>
      </c>
      <c r="CW4" t="e">
        <f>AND('3rd Grade'!#REF!,"AAAAAF/qe2Q=")</f>
        <v>#REF!</v>
      </c>
      <c r="CX4" t="e">
        <f>AND('3rd Grade'!#REF!,"AAAAAF/qe2U=")</f>
        <v>#REF!</v>
      </c>
      <c r="CY4" t="e">
        <f>AND('3rd Grade'!#REF!,"AAAAAF/qe2Y=")</f>
        <v>#REF!</v>
      </c>
      <c r="CZ4" t="e">
        <f>IF('3rd Grade'!#REF!,"AAAAAF/qe2c=",0)</f>
        <v>#REF!</v>
      </c>
      <c r="DA4" t="e">
        <f>AND('3rd Grade'!#REF!,"AAAAAF/qe2g=")</f>
        <v>#REF!</v>
      </c>
      <c r="DB4" t="e">
        <f>AND('3rd Grade'!#REF!,"AAAAAF/qe2k=")</f>
        <v>#REF!</v>
      </c>
      <c r="DC4" t="e">
        <f>AND('3rd Grade'!#REF!,"AAAAAF/qe2o=")</f>
        <v>#REF!</v>
      </c>
      <c r="DD4" t="e">
        <f>IF('3rd Grade'!#REF!,"AAAAAF/qe2s=",0)</f>
        <v>#REF!</v>
      </c>
      <c r="DE4" t="e">
        <f>AND('3rd Grade'!#REF!,"AAAAAF/qe2w=")</f>
        <v>#REF!</v>
      </c>
      <c r="DF4" t="e">
        <f>AND('3rd Grade'!#REF!,"AAAAAF/qe20=")</f>
        <v>#REF!</v>
      </c>
      <c r="DG4" t="e">
        <f>AND('3rd Grade'!#REF!,"AAAAAF/qe24=")</f>
        <v>#REF!</v>
      </c>
      <c r="DH4" t="e">
        <f>IF('3rd Grade'!#REF!,"AAAAAF/qe28=",0)</f>
        <v>#REF!</v>
      </c>
      <c r="DI4" t="e">
        <f>AND('3rd Grade'!#REF!,"AAAAAF/qe3A=")</f>
        <v>#REF!</v>
      </c>
      <c r="DJ4" t="e">
        <f>AND('3rd Grade'!#REF!,"AAAAAF/qe3E=")</f>
        <v>#REF!</v>
      </c>
      <c r="DK4" t="e">
        <f>AND('3rd Grade'!#REF!,"AAAAAF/qe3I=")</f>
        <v>#REF!</v>
      </c>
      <c r="DL4" t="e">
        <f>IF('3rd Grade'!#REF!,"AAAAAF/qe3M=",0)</f>
        <v>#REF!</v>
      </c>
      <c r="DM4" t="e">
        <f>AND('3rd Grade'!#REF!,"AAAAAF/qe3Q=")</f>
        <v>#REF!</v>
      </c>
      <c r="DN4" t="e">
        <f>AND('3rd Grade'!#REF!,"AAAAAF/qe3U=")</f>
        <v>#REF!</v>
      </c>
      <c r="DO4" t="e">
        <f>AND('3rd Grade'!#REF!,"AAAAAF/qe3Y=")</f>
        <v>#REF!</v>
      </c>
      <c r="DP4" t="e">
        <f>IF('3rd Grade'!#REF!,"AAAAAF/qe3c=",0)</f>
        <v>#REF!</v>
      </c>
      <c r="DQ4" t="e">
        <f>AND('3rd Grade'!#REF!,"AAAAAF/qe3g=")</f>
        <v>#REF!</v>
      </c>
      <c r="DR4" t="e">
        <f>AND('3rd Grade'!#REF!,"AAAAAF/qe3k=")</f>
        <v>#REF!</v>
      </c>
      <c r="DS4" t="e">
        <f>AND('3rd Grade'!#REF!,"AAAAAF/qe3o=")</f>
        <v>#REF!</v>
      </c>
      <c r="DT4" t="e">
        <f>IF('3rd Grade'!#REF!,"AAAAAF/qe3s=",0)</f>
        <v>#REF!</v>
      </c>
      <c r="DU4" t="e">
        <f>AND('3rd Grade'!#REF!,"AAAAAF/qe3w=")</f>
        <v>#REF!</v>
      </c>
      <c r="DV4" t="e">
        <f>AND('3rd Grade'!#REF!,"AAAAAF/qe30=")</f>
        <v>#REF!</v>
      </c>
      <c r="DW4" t="e">
        <f>AND('3rd Grade'!#REF!,"AAAAAF/qe34=")</f>
        <v>#REF!</v>
      </c>
      <c r="DX4" t="e">
        <f>IF('3rd Grade'!#REF!,"AAAAAF/qe38=",0)</f>
        <v>#REF!</v>
      </c>
      <c r="DY4" t="e">
        <f>AND('3rd Grade'!#REF!,"AAAAAF/qe4A=")</f>
        <v>#REF!</v>
      </c>
      <c r="DZ4" t="e">
        <f>AND('3rd Grade'!#REF!,"AAAAAF/qe4E=")</f>
        <v>#REF!</v>
      </c>
      <c r="EA4" t="e">
        <f>AND('3rd Grade'!#REF!,"AAAAAF/qe4I=")</f>
        <v>#REF!</v>
      </c>
      <c r="EB4" t="e">
        <f>IF('3rd Grade'!#REF!,"AAAAAF/qe4M=",0)</f>
        <v>#REF!</v>
      </c>
      <c r="EC4" t="e">
        <f>AND('3rd Grade'!#REF!,"AAAAAF/qe4Q=")</f>
        <v>#REF!</v>
      </c>
      <c r="ED4" t="e">
        <f>AND('3rd Grade'!#REF!,"AAAAAF/qe4U=")</f>
        <v>#REF!</v>
      </c>
      <c r="EE4" t="e">
        <f>AND('3rd Grade'!#REF!,"AAAAAF/qe4Y=")</f>
        <v>#REF!</v>
      </c>
      <c r="EF4" t="e">
        <f>IF('3rd Grade'!#REF!,"AAAAAF/qe4c=",0)</f>
        <v>#REF!</v>
      </c>
      <c r="EG4" t="e">
        <f>AND('3rd Grade'!#REF!,"AAAAAF/qe4g=")</f>
        <v>#REF!</v>
      </c>
      <c r="EH4" t="e">
        <f>AND('3rd Grade'!#REF!,"AAAAAF/qe4k=")</f>
        <v>#REF!</v>
      </c>
      <c r="EI4" t="e">
        <f>AND('3rd Grade'!#REF!,"AAAAAF/qe4o=")</f>
        <v>#REF!</v>
      </c>
      <c r="EJ4" t="e">
        <f>IF('3rd Grade'!#REF!,"AAAAAF/qe4s=",0)</f>
        <v>#REF!</v>
      </c>
      <c r="EK4" t="e">
        <f>AND('3rd Grade'!#REF!,"AAAAAF/qe4w=")</f>
        <v>#REF!</v>
      </c>
      <c r="EL4" t="e">
        <f>AND('3rd Grade'!#REF!,"AAAAAF/qe40=")</f>
        <v>#REF!</v>
      </c>
      <c r="EM4" t="e">
        <f>AND('3rd Grade'!#REF!,"AAAAAF/qe44=")</f>
        <v>#REF!</v>
      </c>
      <c r="EN4">
        <f>IF('3rd Grade'!121:121,"AAAAAF/qe48=",0)</f>
        <v>0</v>
      </c>
      <c r="EO4" t="e">
        <f>AND('3rd Grade'!A121,"AAAAAF/qe5A=")</f>
        <v>#VALUE!</v>
      </c>
      <c r="EP4" t="e">
        <f>AND('3rd Grade'!B121,"AAAAAF/qe5E=")</f>
        <v>#VALUE!</v>
      </c>
      <c r="EQ4" t="e">
        <f>AND('3rd Grade'!C121,"AAAAAF/qe5I=")</f>
        <v>#VALUE!</v>
      </c>
      <c r="ER4">
        <f>IF('3rd Grade'!122:122,"AAAAAF/qe5M=",0)</f>
        <v>0</v>
      </c>
      <c r="ES4" t="e">
        <f>AND('3rd Grade'!A122,"AAAAAF/qe5Q=")</f>
        <v>#VALUE!</v>
      </c>
      <c r="ET4" t="e">
        <f>AND('3rd Grade'!B122,"AAAAAF/qe5U=")</f>
        <v>#VALUE!</v>
      </c>
      <c r="EU4" t="e">
        <f>AND('3rd Grade'!C122,"AAAAAF/qe5Y=")</f>
        <v>#VALUE!</v>
      </c>
      <c r="EV4">
        <f>IF('3rd Grade'!123:123,"AAAAAF/qe5c=",0)</f>
        <v>0</v>
      </c>
      <c r="EW4" t="e">
        <f>AND('3rd Grade'!A123,"AAAAAF/qe5g=")</f>
        <v>#VALUE!</v>
      </c>
      <c r="EX4" t="e">
        <f>AND('3rd Grade'!B123,"AAAAAF/qe5k=")</f>
        <v>#VALUE!</v>
      </c>
      <c r="EY4" t="e">
        <f>AND('3rd Grade'!C123,"AAAAAF/qe5o=")</f>
        <v>#VALUE!</v>
      </c>
      <c r="EZ4">
        <f>IF('3rd Grade'!124:124,"AAAAAF/qe5s=",0)</f>
        <v>0</v>
      </c>
      <c r="FA4" t="e">
        <f>AND('3rd Grade'!A124,"AAAAAF/qe5w=")</f>
        <v>#VALUE!</v>
      </c>
      <c r="FB4" t="e">
        <f>AND('3rd Grade'!B124,"AAAAAF/qe50=")</f>
        <v>#VALUE!</v>
      </c>
      <c r="FC4" t="e">
        <f>AND('3rd Grade'!C124,"AAAAAF/qe54=")</f>
        <v>#VALUE!</v>
      </c>
      <c r="FD4">
        <f>IF('3rd Grade'!125:125,"AAAAAF/qe58=",0)</f>
        <v>0</v>
      </c>
      <c r="FE4" t="e">
        <f>AND('3rd Grade'!A125,"AAAAAF/qe6A=")</f>
        <v>#VALUE!</v>
      </c>
      <c r="FF4" t="e">
        <f>AND('3rd Grade'!B125,"AAAAAF/qe6E=")</f>
        <v>#VALUE!</v>
      </c>
      <c r="FG4" t="e">
        <f>AND('3rd Grade'!C125,"AAAAAF/qe6I=")</f>
        <v>#VALUE!</v>
      </c>
      <c r="FH4">
        <f>IF('3rd Grade'!127:127,"AAAAAF/qe6M=",0)</f>
        <v>0</v>
      </c>
      <c r="FI4" t="e">
        <f>AND('3rd Grade'!A127,"AAAAAF/qe6Q=")</f>
        <v>#VALUE!</v>
      </c>
      <c r="FJ4" t="e">
        <f>AND('3rd Grade'!B127,"AAAAAF/qe6U=")</f>
        <v>#VALUE!</v>
      </c>
      <c r="FK4" t="e">
        <f>AND('3rd Grade'!C127,"AAAAAF/qe6Y=")</f>
        <v>#VALUE!</v>
      </c>
      <c r="FL4">
        <f>IF('3rd Grade'!128:128,"AAAAAF/qe6c=",0)</f>
        <v>0</v>
      </c>
      <c r="FM4" t="e">
        <f>AND('3rd Grade'!A128,"AAAAAF/qe6g=")</f>
        <v>#VALUE!</v>
      </c>
      <c r="FN4" t="e">
        <f>AND('3rd Grade'!B128,"AAAAAF/qe6k=")</f>
        <v>#VALUE!</v>
      </c>
      <c r="FO4" t="e">
        <f>AND('3rd Grade'!C128,"AAAAAF/qe6o=")</f>
        <v>#VALUE!</v>
      </c>
      <c r="FP4">
        <f>IF('3rd Grade'!134:134,"AAAAAF/qe6s=",0)</f>
        <v>0</v>
      </c>
      <c r="FQ4" t="e">
        <f>AND('3rd Grade'!A134,"AAAAAF/qe6w=")</f>
        <v>#VALUE!</v>
      </c>
      <c r="FR4" t="e">
        <f>AND('3rd Grade'!B134,"AAAAAF/qe60=")</f>
        <v>#VALUE!</v>
      </c>
      <c r="FS4" t="e">
        <f>AND('3rd Grade'!C134,"AAAAAF/qe64=")</f>
        <v>#VALUE!</v>
      </c>
      <c r="FT4">
        <f>IF('3rd Grade'!135:135,"AAAAAF/qe68=",0)</f>
        <v>0</v>
      </c>
      <c r="FU4" t="e">
        <f>AND('3rd Grade'!A135,"AAAAAF/qe7A=")</f>
        <v>#VALUE!</v>
      </c>
      <c r="FV4" t="e">
        <f>AND('3rd Grade'!B135,"AAAAAF/qe7E=")</f>
        <v>#VALUE!</v>
      </c>
      <c r="FW4" t="e">
        <f>AND('3rd Grade'!C135,"AAAAAF/qe7I=")</f>
        <v>#VALUE!</v>
      </c>
      <c r="FX4">
        <f>IF('3rd Grade'!136:136,"AAAAAF/qe7M=",0)</f>
        <v>0</v>
      </c>
      <c r="FY4" t="e">
        <f>AND('3rd Grade'!A136,"AAAAAF/qe7Q=")</f>
        <v>#VALUE!</v>
      </c>
      <c r="FZ4" t="e">
        <f>AND('3rd Grade'!B136,"AAAAAF/qe7U=")</f>
        <v>#VALUE!</v>
      </c>
      <c r="GA4" t="e">
        <f>AND('3rd Grade'!C136,"AAAAAF/qe7Y=")</f>
        <v>#VALUE!</v>
      </c>
      <c r="GB4">
        <f>IF('3rd Grade'!137:137,"AAAAAF/qe7c=",0)</f>
        <v>0</v>
      </c>
      <c r="GC4" t="e">
        <f>AND('3rd Grade'!A137,"AAAAAF/qe7g=")</f>
        <v>#VALUE!</v>
      </c>
      <c r="GD4" t="e">
        <f>AND('3rd Grade'!B137,"AAAAAF/qe7k=")</f>
        <v>#VALUE!</v>
      </c>
      <c r="GE4" t="e">
        <f>AND('3rd Grade'!C137,"AAAAAF/qe7o=")</f>
        <v>#VALUE!</v>
      </c>
      <c r="GF4">
        <f>IF('3rd Grade'!138:138,"AAAAAF/qe7s=",0)</f>
        <v>0</v>
      </c>
      <c r="GG4" t="e">
        <f>AND('3rd Grade'!A138,"AAAAAF/qe7w=")</f>
        <v>#VALUE!</v>
      </c>
      <c r="GH4" t="e">
        <f>AND('3rd Grade'!B138,"AAAAAF/qe70=")</f>
        <v>#VALUE!</v>
      </c>
      <c r="GI4" t="e">
        <f>AND('3rd Grade'!C138,"AAAAAF/qe74=")</f>
        <v>#VALUE!</v>
      </c>
      <c r="GJ4">
        <f>IF('3rd Grade'!140:140,"AAAAAF/qe78=",0)</f>
        <v>0</v>
      </c>
      <c r="GK4" t="e">
        <f>AND('3rd Grade'!A140,"AAAAAF/qe8A=")</f>
        <v>#VALUE!</v>
      </c>
      <c r="GL4" t="e">
        <f>AND('3rd Grade'!B140,"AAAAAF/qe8E=")</f>
        <v>#VALUE!</v>
      </c>
      <c r="GM4" t="e">
        <f>AND('3rd Grade'!C140,"AAAAAF/qe8I=")</f>
        <v>#VALUE!</v>
      </c>
      <c r="GN4">
        <f>IF('3rd Grade'!141:141,"AAAAAF/qe8M=",0)</f>
        <v>0</v>
      </c>
      <c r="GO4" t="e">
        <f>AND('3rd Grade'!A141,"AAAAAF/qe8Q=")</f>
        <v>#VALUE!</v>
      </c>
      <c r="GP4" t="e">
        <f>AND('3rd Grade'!B141,"AAAAAF/qe8U=")</f>
        <v>#VALUE!</v>
      </c>
      <c r="GQ4" t="e">
        <f>AND('3rd Grade'!C141,"AAAAAF/qe8Y=")</f>
        <v>#VALUE!</v>
      </c>
      <c r="GR4">
        <f>IF('3rd Grade'!142:142,"AAAAAF/qe8c=",0)</f>
        <v>0</v>
      </c>
      <c r="GS4" t="e">
        <f>AND('3rd Grade'!A142,"AAAAAF/qe8g=")</f>
        <v>#VALUE!</v>
      </c>
      <c r="GT4" t="e">
        <f>AND('3rd Grade'!B142,"AAAAAF/qe8k=")</f>
        <v>#VALUE!</v>
      </c>
      <c r="GU4" t="e">
        <f>AND('3rd Grade'!C142,"AAAAAF/qe8o=")</f>
        <v>#VALUE!</v>
      </c>
      <c r="GV4">
        <f>IF('3rd Grade'!143:143,"AAAAAF/qe8s=",0)</f>
        <v>0</v>
      </c>
      <c r="GW4" t="e">
        <f>AND('3rd Grade'!A143,"AAAAAF/qe8w=")</f>
        <v>#VALUE!</v>
      </c>
      <c r="GX4" t="e">
        <f>AND('3rd Grade'!B143,"AAAAAF/qe80=")</f>
        <v>#VALUE!</v>
      </c>
      <c r="GY4" t="e">
        <f>AND('3rd Grade'!C143,"AAAAAF/qe84=")</f>
        <v>#VALUE!</v>
      </c>
      <c r="GZ4">
        <f>IF('3rd Grade'!144:144,"AAAAAF/qe88=",0)</f>
        <v>0</v>
      </c>
      <c r="HA4" t="e">
        <f>AND('3rd Grade'!A144,"AAAAAF/qe9A=")</f>
        <v>#VALUE!</v>
      </c>
      <c r="HB4" t="e">
        <f>AND('3rd Grade'!B144,"AAAAAF/qe9E=")</f>
        <v>#VALUE!</v>
      </c>
      <c r="HC4" t="e">
        <f>AND('3rd Grade'!C144,"AAAAAF/qe9I=")</f>
        <v>#VALUE!</v>
      </c>
      <c r="HD4">
        <f>IF('3rd Grade'!145:145,"AAAAAF/qe9M=",0)</f>
        <v>0</v>
      </c>
      <c r="HE4" t="e">
        <f>AND('3rd Grade'!A145,"AAAAAF/qe9Q=")</f>
        <v>#VALUE!</v>
      </c>
      <c r="HF4" t="e">
        <f>AND('3rd Grade'!B145,"AAAAAF/qe9U=")</f>
        <v>#VALUE!</v>
      </c>
      <c r="HG4" t="e">
        <f>AND('3rd Grade'!C145,"AAAAAF/qe9Y=")</f>
        <v>#VALUE!</v>
      </c>
      <c r="HH4">
        <f>IF('3rd Grade'!147:147,"AAAAAF/qe9c=",0)</f>
        <v>0</v>
      </c>
      <c r="HI4" t="e">
        <f>AND('3rd Grade'!A147,"AAAAAF/qe9g=")</f>
        <v>#VALUE!</v>
      </c>
      <c r="HJ4" t="e">
        <f>AND('3rd Grade'!B147,"AAAAAF/qe9k=")</f>
        <v>#VALUE!</v>
      </c>
      <c r="HK4" t="e">
        <f>AND('3rd Grade'!C147,"AAAAAF/qe9o=")</f>
        <v>#VALUE!</v>
      </c>
      <c r="HL4" t="e">
        <f>IF('3rd Grade'!#REF!,"AAAAAF/qe9s=",0)</f>
        <v>#REF!</v>
      </c>
      <c r="HM4" t="e">
        <f>AND('3rd Grade'!#REF!,"AAAAAF/qe9w=")</f>
        <v>#REF!</v>
      </c>
      <c r="HN4" t="e">
        <f>AND('3rd Grade'!#REF!,"AAAAAF/qe90=")</f>
        <v>#REF!</v>
      </c>
      <c r="HO4" t="e">
        <f>AND('3rd Grade'!#REF!,"AAAAAF/qe94=")</f>
        <v>#REF!</v>
      </c>
      <c r="HP4" t="e">
        <f>IF('3rd Grade'!#REF!,"AAAAAF/qe98=",0)</f>
        <v>#REF!</v>
      </c>
      <c r="HQ4" t="e">
        <f>AND('3rd Grade'!#REF!,"AAAAAF/qe+A=")</f>
        <v>#REF!</v>
      </c>
      <c r="HR4" t="e">
        <f>AND('3rd Grade'!#REF!,"AAAAAF/qe+E=")</f>
        <v>#REF!</v>
      </c>
      <c r="HS4" t="e">
        <f>AND('3rd Grade'!#REF!,"AAAAAF/qe+I=")</f>
        <v>#REF!</v>
      </c>
      <c r="HT4" t="e">
        <f>IF('3rd Grade'!#REF!,"AAAAAF/qe+M=",0)</f>
        <v>#REF!</v>
      </c>
      <c r="HU4" t="e">
        <f>AND('3rd Grade'!#REF!,"AAAAAF/qe+Q=")</f>
        <v>#REF!</v>
      </c>
      <c r="HV4" t="e">
        <f>AND('3rd Grade'!#REF!,"AAAAAF/qe+U=")</f>
        <v>#REF!</v>
      </c>
      <c r="HW4" t="e">
        <f>AND('3rd Grade'!#REF!,"AAAAAF/qe+Y=")</f>
        <v>#REF!</v>
      </c>
      <c r="HX4" t="e">
        <f>IF('3rd Grade'!#REF!,"AAAAAF/qe+c=",0)</f>
        <v>#REF!</v>
      </c>
      <c r="HY4" t="e">
        <f>AND('3rd Grade'!#REF!,"AAAAAF/qe+g=")</f>
        <v>#REF!</v>
      </c>
      <c r="HZ4" t="e">
        <f>AND('3rd Grade'!#REF!,"AAAAAF/qe+k=")</f>
        <v>#REF!</v>
      </c>
      <c r="IA4" t="e">
        <f>AND('3rd Grade'!#REF!,"AAAAAF/qe+o=")</f>
        <v>#REF!</v>
      </c>
      <c r="IB4" t="e">
        <f>IF('3rd Grade'!#REF!,"AAAAAF/qe+s=",0)</f>
        <v>#REF!</v>
      </c>
      <c r="IC4" t="e">
        <f>AND('3rd Grade'!#REF!,"AAAAAF/qe+w=")</f>
        <v>#REF!</v>
      </c>
      <c r="ID4" t="e">
        <f>AND('3rd Grade'!#REF!,"AAAAAF/qe+0=")</f>
        <v>#REF!</v>
      </c>
      <c r="IE4" t="e">
        <f>AND('3rd Grade'!#REF!,"AAAAAF/qe+4=")</f>
        <v>#REF!</v>
      </c>
      <c r="IF4" t="e">
        <f>IF('3rd Grade'!#REF!,"AAAAAF/qe+8=",0)</f>
        <v>#REF!</v>
      </c>
      <c r="IG4" t="e">
        <f>AND('3rd Grade'!#REF!,"AAAAAF/qe/A=")</f>
        <v>#REF!</v>
      </c>
      <c r="IH4" t="e">
        <f>AND('3rd Grade'!#REF!,"AAAAAF/qe/E=")</f>
        <v>#REF!</v>
      </c>
      <c r="II4" t="e">
        <f>AND('3rd Grade'!#REF!,"AAAAAF/qe/I=")</f>
        <v>#REF!</v>
      </c>
      <c r="IJ4" t="e">
        <f>IF('3rd Grade'!#REF!,"AAAAAF/qe/M=",0)</f>
        <v>#REF!</v>
      </c>
      <c r="IK4" t="e">
        <f>AND('3rd Grade'!#REF!,"AAAAAF/qe/Q=")</f>
        <v>#REF!</v>
      </c>
      <c r="IL4" t="e">
        <f>AND('3rd Grade'!#REF!,"AAAAAF/qe/U=")</f>
        <v>#REF!</v>
      </c>
      <c r="IM4" t="e">
        <f>AND('3rd Grade'!#REF!,"AAAAAF/qe/Y=")</f>
        <v>#REF!</v>
      </c>
      <c r="IN4" t="e">
        <f>IF('3rd Grade'!#REF!,"AAAAAF/qe/c=",0)</f>
        <v>#REF!</v>
      </c>
      <c r="IO4" t="e">
        <f>AND('3rd Grade'!#REF!,"AAAAAF/qe/g=")</f>
        <v>#REF!</v>
      </c>
      <c r="IP4" t="e">
        <f>AND('3rd Grade'!#REF!,"AAAAAF/qe/k=")</f>
        <v>#REF!</v>
      </c>
      <c r="IQ4" t="e">
        <f>AND('3rd Grade'!#REF!,"AAAAAF/qe/o=")</f>
        <v>#REF!</v>
      </c>
      <c r="IR4">
        <f>IF('3rd Grade'!148:148,"AAAAAF/qe/s=",0)</f>
        <v>0</v>
      </c>
      <c r="IS4" t="e">
        <f>AND('3rd Grade'!A148,"AAAAAF/qe/w=")</f>
        <v>#VALUE!</v>
      </c>
      <c r="IT4" t="e">
        <f>AND('3rd Grade'!B148,"AAAAAF/qe/0=")</f>
        <v>#VALUE!</v>
      </c>
      <c r="IU4" t="e">
        <f>AND('3rd Grade'!C148,"AAAAAF/qe/4=")</f>
        <v>#VALUE!</v>
      </c>
      <c r="IV4">
        <f>IF('3rd Grade'!149:149,"AAAAAF/qe/8=",0)</f>
        <v>0</v>
      </c>
    </row>
    <row r="5" spans="1:256">
      <c r="A5" t="e">
        <f>AND('3rd Grade'!A149,"AAAAAG//zQA=")</f>
        <v>#VALUE!</v>
      </c>
      <c r="B5" t="e">
        <f>AND('3rd Grade'!B149,"AAAAAG//zQE=")</f>
        <v>#VALUE!</v>
      </c>
      <c r="C5" t="e">
        <f>AND('3rd Grade'!C149,"AAAAAG//zQI=")</f>
        <v>#VALUE!</v>
      </c>
      <c r="D5" t="e">
        <f>IF('3rd Grade'!#REF!,"AAAAAG//zQM=",0)</f>
        <v>#REF!</v>
      </c>
      <c r="E5" t="e">
        <f>AND('3rd Grade'!#REF!,"AAAAAG//zQQ=")</f>
        <v>#REF!</v>
      </c>
      <c r="F5" t="e">
        <f>AND('3rd Grade'!#REF!,"AAAAAG//zQU=")</f>
        <v>#REF!</v>
      </c>
      <c r="G5" t="e">
        <f>AND('3rd Grade'!#REF!,"AAAAAG//zQY=")</f>
        <v>#REF!</v>
      </c>
      <c r="H5" t="e">
        <f>IF('3rd Grade'!#REF!,"AAAAAG//zQc=",0)</f>
        <v>#REF!</v>
      </c>
      <c r="I5" t="e">
        <f>AND('3rd Grade'!#REF!,"AAAAAG//zQg=")</f>
        <v>#REF!</v>
      </c>
      <c r="J5" t="e">
        <f>AND('3rd Grade'!#REF!,"AAAAAG//zQk=")</f>
        <v>#REF!</v>
      </c>
      <c r="K5" t="e">
        <f>AND('3rd Grade'!#REF!,"AAAAAG//zQo=")</f>
        <v>#REF!</v>
      </c>
      <c r="L5" t="e">
        <f>IF('3rd Grade'!#REF!,"AAAAAG//zQs=",0)</f>
        <v>#REF!</v>
      </c>
      <c r="M5" t="e">
        <f>AND('3rd Grade'!#REF!,"AAAAAG//zQw=")</f>
        <v>#REF!</v>
      </c>
      <c r="N5" t="e">
        <f>AND('3rd Grade'!#REF!,"AAAAAG//zQ0=")</f>
        <v>#REF!</v>
      </c>
      <c r="O5" t="e">
        <f>AND('3rd Grade'!#REF!,"AAAAAG//zQ4=")</f>
        <v>#REF!</v>
      </c>
      <c r="P5" t="e">
        <f>IF('3rd Grade'!#REF!,"AAAAAG//zQ8=",0)</f>
        <v>#REF!</v>
      </c>
      <c r="Q5" t="e">
        <f>AND('3rd Grade'!#REF!,"AAAAAG//zRA=")</f>
        <v>#REF!</v>
      </c>
      <c r="R5" t="e">
        <f>AND('3rd Grade'!#REF!,"AAAAAG//zRE=")</f>
        <v>#REF!</v>
      </c>
      <c r="S5" t="e">
        <f>AND('3rd Grade'!#REF!,"AAAAAG//zRI=")</f>
        <v>#REF!</v>
      </c>
      <c r="T5">
        <f>IF('3rd Grade'!150:150,"AAAAAG//zRM=",0)</f>
        <v>0</v>
      </c>
      <c r="U5" t="e">
        <f>AND('3rd Grade'!A150,"AAAAAG//zRQ=")</f>
        <v>#VALUE!</v>
      </c>
      <c r="V5" t="e">
        <f>AND('3rd Grade'!B150,"AAAAAG//zRU=")</f>
        <v>#VALUE!</v>
      </c>
      <c r="W5" t="e">
        <f>AND('3rd Grade'!C150,"AAAAAG//zRY=")</f>
        <v>#VALUE!</v>
      </c>
      <c r="X5" t="e">
        <f>IF('3rd Grade'!#REF!,"AAAAAG//zRc=",0)</f>
        <v>#REF!</v>
      </c>
      <c r="Y5" t="e">
        <f>AND('3rd Grade'!#REF!,"AAAAAG//zRg=")</f>
        <v>#REF!</v>
      </c>
      <c r="Z5" t="e">
        <f>AND('3rd Grade'!#REF!,"AAAAAG//zRk=")</f>
        <v>#REF!</v>
      </c>
      <c r="AA5" t="e">
        <f>AND('3rd Grade'!#REF!,"AAAAAG//zRo=")</f>
        <v>#REF!</v>
      </c>
      <c r="AB5">
        <f>IF('3rd Grade'!151:151,"AAAAAG//zRs=",0)</f>
        <v>0</v>
      </c>
      <c r="AC5" t="e">
        <f>AND('3rd Grade'!A151,"AAAAAG//zRw=")</f>
        <v>#VALUE!</v>
      </c>
      <c r="AD5" t="e">
        <f>AND('3rd Grade'!B151,"AAAAAG//zR0=")</f>
        <v>#VALUE!</v>
      </c>
      <c r="AE5" t="e">
        <f>AND('3rd Grade'!C151,"AAAAAG//zR4=")</f>
        <v>#VALUE!</v>
      </c>
      <c r="AF5">
        <f>IF('3rd Grade'!152:152,"AAAAAG//zR8=",0)</f>
        <v>0</v>
      </c>
      <c r="AG5" t="e">
        <f>AND('3rd Grade'!A152,"AAAAAG//zSA=")</f>
        <v>#VALUE!</v>
      </c>
      <c r="AH5" t="e">
        <f>AND('3rd Grade'!B152,"AAAAAG//zSE=")</f>
        <v>#VALUE!</v>
      </c>
      <c r="AI5" t="e">
        <f>AND('3rd Grade'!C152,"AAAAAG//zSI=")</f>
        <v>#VALUE!</v>
      </c>
      <c r="AJ5" t="e">
        <f>IF('3rd Grade'!#REF!,"AAAAAG//zSM=",0)</f>
        <v>#REF!</v>
      </c>
      <c r="AK5" t="e">
        <f>AND('3rd Grade'!#REF!,"AAAAAG//zSQ=")</f>
        <v>#REF!</v>
      </c>
      <c r="AL5" t="e">
        <f>AND('3rd Grade'!#REF!,"AAAAAG//zSU=")</f>
        <v>#REF!</v>
      </c>
      <c r="AM5" t="e">
        <f>AND('3rd Grade'!#REF!,"AAAAAG//zSY=")</f>
        <v>#REF!</v>
      </c>
      <c r="AN5">
        <f>IF('3rd Grade'!153:153,"AAAAAG//zSc=",0)</f>
        <v>0</v>
      </c>
      <c r="AO5" t="e">
        <f>AND('3rd Grade'!A153,"AAAAAG//zSg=")</f>
        <v>#VALUE!</v>
      </c>
      <c r="AP5" t="e">
        <f>AND('3rd Grade'!B153,"AAAAAG//zSk=")</f>
        <v>#VALUE!</v>
      </c>
      <c r="AQ5" t="e">
        <f>AND('3rd Grade'!C153,"AAAAAG//zSo=")</f>
        <v>#VALUE!</v>
      </c>
      <c r="AR5">
        <f>IF('3rd Grade'!154:154,"AAAAAG//zSs=",0)</f>
        <v>0</v>
      </c>
      <c r="AS5" t="e">
        <f>AND('3rd Grade'!A154,"AAAAAG//zSw=")</f>
        <v>#VALUE!</v>
      </c>
      <c r="AT5" t="e">
        <f>AND('3rd Grade'!B154,"AAAAAG//zS0=")</f>
        <v>#VALUE!</v>
      </c>
      <c r="AU5" t="e">
        <f>AND('3rd Grade'!C154,"AAAAAG//zS4=")</f>
        <v>#VALUE!</v>
      </c>
      <c r="AV5">
        <f>IF('3rd Grade'!155:155,"AAAAAG//zS8=",0)</f>
        <v>0</v>
      </c>
      <c r="AW5" t="e">
        <f>AND('3rd Grade'!A155,"AAAAAG//zTA=")</f>
        <v>#VALUE!</v>
      </c>
      <c r="AX5" t="e">
        <f>AND('3rd Grade'!B155,"AAAAAG//zTE=")</f>
        <v>#VALUE!</v>
      </c>
      <c r="AY5" t="e">
        <f>AND('3rd Grade'!C155,"AAAAAG//zTI=")</f>
        <v>#VALUE!</v>
      </c>
      <c r="AZ5" t="e">
        <f>IF('3rd Grade'!#REF!,"AAAAAG//zTM=",0)</f>
        <v>#REF!</v>
      </c>
      <c r="BA5" t="e">
        <f>AND('3rd Grade'!#REF!,"AAAAAG//zTQ=")</f>
        <v>#REF!</v>
      </c>
      <c r="BB5" t="e">
        <f>AND('3rd Grade'!#REF!,"AAAAAG//zTU=")</f>
        <v>#REF!</v>
      </c>
      <c r="BC5" t="e">
        <f>AND('3rd Grade'!#REF!,"AAAAAG//zTY=")</f>
        <v>#REF!</v>
      </c>
      <c r="BD5" t="e">
        <f>IF('3rd Grade'!#REF!,"AAAAAG//zTc=",0)</f>
        <v>#REF!</v>
      </c>
      <c r="BE5" t="e">
        <f>AND('3rd Grade'!#REF!,"AAAAAG//zTg=")</f>
        <v>#REF!</v>
      </c>
      <c r="BF5" t="e">
        <f>AND('3rd Grade'!#REF!,"AAAAAG//zTk=")</f>
        <v>#REF!</v>
      </c>
      <c r="BG5" t="e">
        <f>AND('3rd Grade'!#REF!,"AAAAAG//zTo=")</f>
        <v>#REF!</v>
      </c>
      <c r="BH5" t="e">
        <f>IF('3rd Grade'!#REF!,"AAAAAG//zTs=",0)</f>
        <v>#REF!</v>
      </c>
      <c r="BI5" t="e">
        <f>AND('3rd Grade'!#REF!,"AAAAAG//zTw=")</f>
        <v>#REF!</v>
      </c>
      <c r="BJ5" t="e">
        <f>AND('3rd Grade'!#REF!,"AAAAAG//zT0=")</f>
        <v>#REF!</v>
      </c>
      <c r="BK5" t="e">
        <f>AND('3rd Grade'!#REF!,"AAAAAG//zT4=")</f>
        <v>#REF!</v>
      </c>
      <c r="BL5" t="e">
        <f>IF('3rd Grade'!#REF!,"AAAAAG//zT8=",0)</f>
        <v>#REF!</v>
      </c>
      <c r="BM5" t="e">
        <f>AND('3rd Grade'!#REF!,"AAAAAG//zUA=")</f>
        <v>#REF!</v>
      </c>
      <c r="BN5" t="e">
        <f>AND('3rd Grade'!#REF!,"AAAAAG//zUE=")</f>
        <v>#REF!</v>
      </c>
      <c r="BO5" t="e">
        <f>AND('3rd Grade'!#REF!,"AAAAAG//zUI=")</f>
        <v>#REF!</v>
      </c>
      <c r="BP5">
        <f>IF('3rd Grade'!156:156,"AAAAAG//zUM=",0)</f>
        <v>0</v>
      </c>
      <c r="BQ5" t="e">
        <f>AND('3rd Grade'!A156,"AAAAAG//zUQ=")</f>
        <v>#VALUE!</v>
      </c>
      <c r="BR5" t="e">
        <f>AND('3rd Grade'!B156,"AAAAAG//zUU=")</f>
        <v>#VALUE!</v>
      </c>
      <c r="BS5" t="e">
        <f>AND('3rd Grade'!C156,"AAAAAG//zUY=")</f>
        <v>#VALUE!</v>
      </c>
      <c r="BT5">
        <f>IF('3rd Grade'!157:157,"AAAAAG//zUc=",0)</f>
        <v>0</v>
      </c>
      <c r="BU5" t="e">
        <f>AND('3rd Grade'!A157,"AAAAAG//zUg=")</f>
        <v>#VALUE!</v>
      </c>
      <c r="BV5" t="e">
        <f>AND('3rd Grade'!B157,"AAAAAG//zUk=")</f>
        <v>#VALUE!</v>
      </c>
      <c r="BW5" t="e">
        <f>AND('3rd Grade'!C157,"AAAAAG//zUo=")</f>
        <v>#VALUE!</v>
      </c>
      <c r="BX5" t="e">
        <f>IF('3rd Grade'!#REF!,"AAAAAG//zUs=",0)</f>
        <v>#REF!</v>
      </c>
      <c r="BY5" t="e">
        <f>AND('3rd Grade'!#REF!,"AAAAAG//zUw=")</f>
        <v>#REF!</v>
      </c>
      <c r="BZ5" t="e">
        <f>AND('3rd Grade'!#REF!,"AAAAAG//zU0=")</f>
        <v>#REF!</v>
      </c>
      <c r="CA5" t="e">
        <f>AND('3rd Grade'!#REF!,"AAAAAG//zU4=")</f>
        <v>#REF!</v>
      </c>
      <c r="CB5" t="e">
        <f>IF('3rd Grade'!#REF!,"AAAAAG//zU8=",0)</f>
        <v>#REF!</v>
      </c>
      <c r="CC5" t="e">
        <f>AND('3rd Grade'!#REF!,"AAAAAG//zVA=")</f>
        <v>#REF!</v>
      </c>
      <c r="CD5" t="e">
        <f>AND('3rd Grade'!#REF!,"AAAAAG//zVE=")</f>
        <v>#REF!</v>
      </c>
      <c r="CE5" t="e">
        <f>AND('3rd Grade'!#REF!,"AAAAAG//zVI=")</f>
        <v>#REF!</v>
      </c>
      <c r="CF5" t="e">
        <f>IF('3rd Grade'!#REF!,"AAAAAG//zVM=",0)</f>
        <v>#REF!</v>
      </c>
      <c r="CG5" t="e">
        <f>AND('3rd Grade'!#REF!,"AAAAAG//zVQ=")</f>
        <v>#REF!</v>
      </c>
      <c r="CH5" t="e">
        <f>AND('3rd Grade'!#REF!,"AAAAAG//zVU=")</f>
        <v>#REF!</v>
      </c>
      <c r="CI5" t="e">
        <f>AND('3rd Grade'!#REF!,"AAAAAG//zVY=")</f>
        <v>#REF!</v>
      </c>
      <c r="CJ5" t="e">
        <f>IF('3rd Grade'!#REF!,"AAAAAG//zVc=",0)</f>
        <v>#REF!</v>
      </c>
      <c r="CK5" t="e">
        <f>AND('3rd Grade'!#REF!,"AAAAAG//zVg=")</f>
        <v>#REF!</v>
      </c>
      <c r="CL5" t="e">
        <f>AND('3rd Grade'!#REF!,"AAAAAG//zVk=")</f>
        <v>#REF!</v>
      </c>
      <c r="CM5" t="e">
        <f>AND('3rd Grade'!#REF!,"AAAAAG//zVo=")</f>
        <v>#REF!</v>
      </c>
      <c r="CN5" t="e">
        <f>IF('3rd Grade'!#REF!,"AAAAAG//zVs=",0)</f>
        <v>#REF!</v>
      </c>
      <c r="CO5" t="e">
        <f>AND('3rd Grade'!#REF!,"AAAAAG//zVw=")</f>
        <v>#REF!</v>
      </c>
      <c r="CP5" t="e">
        <f>AND('3rd Grade'!#REF!,"AAAAAG//zV0=")</f>
        <v>#REF!</v>
      </c>
      <c r="CQ5" t="e">
        <f>AND('3rd Grade'!#REF!,"AAAAAG//zV4=")</f>
        <v>#REF!</v>
      </c>
      <c r="CR5">
        <f>IF('3rd Grade'!158:158,"AAAAAG//zV8=",0)</f>
        <v>0</v>
      </c>
      <c r="CS5" t="e">
        <f>AND('3rd Grade'!A158,"AAAAAG//zWA=")</f>
        <v>#VALUE!</v>
      </c>
      <c r="CT5" t="e">
        <f>AND('3rd Grade'!B158,"AAAAAG//zWE=")</f>
        <v>#VALUE!</v>
      </c>
      <c r="CU5" t="e">
        <f>AND('3rd Grade'!C158,"AAAAAG//zWI=")</f>
        <v>#VALUE!</v>
      </c>
    </row>
    <row r="6" spans="1:256">
      <c r="A6" t="e">
        <f>AND('3rd Grade'!F1,"AAAAAE19/wA=")</f>
        <v>#VALUE!</v>
      </c>
      <c r="B6" t="e">
        <f>AND('3rd Grade'!F2,"AAAAAE19/wE=")</f>
        <v>#VALUE!</v>
      </c>
      <c r="C6" t="e">
        <f>AND('3rd Grade'!F3,"AAAAAE19/wI=")</f>
        <v>#VALUE!</v>
      </c>
      <c r="D6" t="e">
        <f>AND('3rd Grade'!F21,"AAAAAE19/wM=")</f>
        <v>#VALUE!</v>
      </c>
      <c r="E6" t="str">
        <f>IF('3rd Grade'!F:F,"AAAAAE19/wQ=",0)</f>
        <v>AAAAAE19/wQ=</v>
      </c>
      <c r="F6" t="e">
        <f>IF("N",'3rd Grade'!_xlnm.Print_Titles,"AAAAAE19/wU=")</f>
        <v>#VALUE!</v>
      </c>
    </row>
    <row r="7" spans="1:256">
      <c r="A7" t="e">
        <f>IF(Template!1:1,"AAAAAFq+DwA=",0)</f>
        <v>#VALUE!</v>
      </c>
      <c r="B7" t="e">
        <f>AND(Template!A1,"AAAAAFq+DwE=")</f>
        <v>#VALUE!</v>
      </c>
      <c r="C7" t="e">
        <f>AND(Template!B1,"AAAAAFq+DwI=")</f>
        <v>#VALUE!</v>
      </c>
      <c r="D7" t="e">
        <f>AND(Template!C1,"AAAAAFq+DwM=")</f>
        <v>#VALUE!</v>
      </c>
      <c r="E7" t="e">
        <f>AND(Template!D1,"AAAAAFq+DwQ=")</f>
        <v>#VALUE!</v>
      </c>
      <c r="F7" t="e">
        <f>AND(Template!E1,"AAAAAFq+DwU=")</f>
        <v>#VALUE!</v>
      </c>
      <c r="G7" t="e">
        <f>AND(Template!F1,"AAAAAFq+DwY=")</f>
        <v>#VALUE!</v>
      </c>
      <c r="H7" t="e">
        <f>AND(Template!G1,"AAAAAFq+Dwc=")</f>
        <v>#VALUE!</v>
      </c>
      <c r="I7">
        <f>IF(Template!2:2,"AAAAAFq+Dwg=",0)</f>
        <v>0</v>
      </c>
      <c r="J7" t="e">
        <f>AND(Template!A2,"AAAAAFq+Dwk=")</f>
        <v>#VALUE!</v>
      </c>
      <c r="K7" t="e">
        <f>AND(Template!B2,"AAAAAFq+Dwo=")</f>
        <v>#VALUE!</v>
      </c>
      <c r="L7" t="e">
        <f>AND(Template!C2,"AAAAAFq+Dws=")</f>
        <v>#VALUE!</v>
      </c>
      <c r="M7" t="e">
        <f>AND(Template!D2,"AAAAAFq+Dww=")</f>
        <v>#VALUE!</v>
      </c>
      <c r="N7" t="e">
        <f>AND(Template!E2,"AAAAAFq+Dw0=")</f>
        <v>#VALUE!</v>
      </c>
      <c r="O7" t="e">
        <f>AND(Template!F2,"AAAAAFq+Dw4=")</f>
        <v>#VALUE!</v>
      </c>
      <c r="P7" t="e">
        <f>AND(Template!G2,"AAAAAFq+Dw8=")</f>
        <v>#VALUE!</v>
      </c>
      <c r="Q7">
        <f>IF(Template!3:3,"AAAAAFq+DxA=",0)</f>
        <v>0</v>
      </c>
      <c r="R7" t="e">
        <f>AND(Template!A3,"AAAAAFq+DxE=")</f>
        <v>#VALUE!</v>
      </c>
      <c r="S7" t="e">
        <f>AND(Template!B3,"AAAAAFq+DxI=")</f>
        <v>#VALUE!</v>
      </c>
      <c r="T7" t="e">
        <f>AND(Template!C3,"AAAAAFq+DxM=")</f>
        <v>#VALUE!</v>
      </c>
      <c r="U7" t="e">
        <f>AND(Template!D3,"AAAAAFq+DxQ=")</f>
        <v>#VALUE!</v>
      </c>
      <c r="V7" t="e">
        <f>AND(Template!E3,"AAAAAFq+DxU=")</f>
        <v>#VALUE!</v>
      </c>
      <c r="W7" t="e">
        <f>AND(Template!F3,"AAAAAFq+DxY=")</f>
        <v>#VALUE!</v>
      </c>
      <c r="X7" t="e">
        <f>AND(Template!G3,"AAAAAFq+Dxc=")</f>
        <v>#VALUE!</v>
      </c>
      <c r="Y7">
        <f>IF(Template!4:4,"AAAAAFq+Dxg=",0)</f>
        <v>0</v>
      </c>
      <c r="Z7" t="e">
        <f>AND(Template!A4,"AAAAAFq+Dxk=")</f>
        <v>#VALUE!</v>
      </c>
      <c r="AA7" t="e">
        <f>AND(Template!B4,"AAAAAFq+Dxo=")</f>
        <v>#VALUE!</v>
      </c>
      <c r="AB7" t="e">
        <f>AND(Template!C4,"AAAAAFq+Dxs=")</f>
        <v>#VALUE!</v>
      </c>
      <c r="AC7" t="e">
        <f>AND(Template!D4,"AAAAAFq+Dxw=")</f>
        <v>#VALUE!</v>
      </c>
      <c r="AD7" t="e">
        <f>AND(Template!E4,"AAAAAFq+Dx0=")</f>
        <v>#VALUE!</v>
      </c>
      <c r="AE7" t="e">
        <f>AND(Template!F4,"AAAAAFq+Dx4=")</f>
        <v>#VALUE!</v>
      </c>
      <c r="AF7" t="e">
        <f>AND(Template!G4,"AAAAAFq+Dx8=")</f>
        <v>#VALUE!</v>
      </c>
      <c r="AG7">
        <f>IF(Template!5:5,"AAAAAFq+DyA=",0)</f>
        <v>0</v>
      </c>
      <c r="AH7">
        <f>IF(Template!6:6,"AAAAAFq+DyE=",0)</f>
        <v>0</v>
      </c>
      <c r="AI7">
        <f>IF(Template!7:7,"AAAAAFq+DyI=",0)</f>
        <v>0</v>
      </c>
      <c r="AJ7">
        <f>IF(Template!8:8,"AAAAAFq+DyM=",0)</f>
        <v>0</v>
      </c>
      <c r="AK7">
        <f>IF(Template!9:9,"AAAAAFq+DyQ=",0)</f>
        <v>0</v>
      </c>
      <c r="AL7">
        <f>IF(Template!10:10,"AAAAAFq+DyU=",0)</f>
        <v>0</v>
      </c>
      <c r="AM7">
        <f>IF(Template!11:11,"AAAAAFq+DyY=",0)</f>
        <v>0</v>
      </c>
      <c r="AN7">
        <f>IF(Template!12:12,"AAAAAFq+Dyc=",0)</f>
        <v>0</v>
      </c>
      <c r="AO7">
        <f>IF(Template!13:13,"AAAAAFq+Dyg=",0)</f>
        <v>0</v>
      </c>
      <c r="AP7">
        <f>IF(Template!14:14,"AAAAAFq+Dyk=",0)</f>
        <v>0</v>
      </c>
      <c r="AQ7">
        <f>IF(Template!15:15,"AAAAAFq+Dyo=",0)</f>
        <v>0</v>
      </c>
      <c r="AR7">
        <f>IF(Template!16:16,"AAAAAFq+Dys=",0)</f>
        <v>0</v>
      </c>
      <c r="AS7">
        <f>IF(Template!17:17,"AAAAAFq+Dyw=",0)</f>
        <v>0</v>
      </c>
      <c r="AT7">
        <f>IF(Template!18:18,"AAAAAFq+Dy0=",0)</f>
        <v>0</v>
      </c>
      <c r="AU7">
        <f>IF(Template!19:19,"AAAAAFq+Dy4=",0)</f>
        <v>0</v>
      </c>
      <c r="AV7">
        <f>IF(Template!20:20,"AAAAAFq+Dy8=",0)</f>
        <v>0</v>
      </c>
      <c r="AW7">
        <f>IF(Template!21:21,"AAAAAFq+DzA=",0)</f>
        <v>0</v>
      </c>
      <c r="AX7">
        <f>IF(Template!22:22,"AAAAAFq+DzE=",0)</f>
        <v>0</v>
      </c>
      <c r="AY7">
        <f>IF(Template!23:23,"AAAAAFq+DzI=",0)</f>
        <v>0</v>
      </c>
      <c r="AZ7">
        <f>IF(Template!24:24,"AAAAAFq+DzM=",0)</f>
        <v>0</v>
      </c>
      <c r="BA7">
        <f>IF(Template!25:25,"AAAAAFq+DzQ=",0)</f>
        <v>0</v>
      </c>
      <c r="BB7">
        <f>IF(Template!26:26,"AAAAAFq+DzU=",0)</f>
        <v>0</v>
      </c>
      <c r="BC7">
        <f>IF(Template!27:27,"AAAAAFq+DzY=",0)</f>
        <v>0</v>
      </c>
      <c r="BD7">
        <f>IF(Template!28:28,"AAAAAFq+Dzc=",0)</f>
        <v>0</v>
      </c>
      <c r="BE7">
        <f>IF(Template!29:29,"AAAAAFq+Dzg=",0)</f>
        <v>0</v>
      </c>
      <c r="BF7">
        <f>IF(Template!30:30,"AAAAAFq+Dzk=",0)</f>
        <v>0</v>
      </c>
      <c r="BG7">
        <f>IF(Template!31:31,"AAAAAFq+Dzo=",0)</f>
        <v>0</v>
      </c>
      <c r="BH7">
        <f>IF(Template!32:32,"AAAAAFq+Dzs=",0)</f>
        <v>0</v>
      </c>
      <c r="BI7">
        <f>IF(Template!33:33,"AAAAAFq+Dzw=",0)</f>
        <v>0</v>
      </c>
      <c r="BJ7">
        <f>IF(Template!34:34,"AAAAAFq+Dz0=",0)</f>
        <v>0</v>
      </c>
      <c r="BK7">
        <f>IF(Template!35:35,"AAAAAFq+Dz4=",0)</f>
        <v>0</v>
      </c>
      <c r="BL7">
        <f>IF(Template!36:36,"AAAAAFq+Dz8=",0)</f>
        <v>0</v>
      </c>
      <c r="BM7">
        <f>IF(Template!37:37,"AAAAAFq+D0A=",0)</f>
        <v>0</v>
      </c>
      <c r="BN7">
        <f>IF(Template!38:38,"AAAAAFq+D0E=",0)</f>
        <v>0</v>
      </c>
      <c r="BO7">
        <f>IF(Template!39:39,"AAAAAFq+D0I=",0)</f>
        <v>0</v>
      </c>
      <c r="BP7">
        <f>IF(Template!40:40,"AAAAAFq+D0M=",0)</f>
        <v>0</v>
      </c>
      <c r="BQ7">
        <f>IF(Template!41:41,"AAAAAFq+D0Q=",0)</f>
        <v>0</v>
      </c>
      <c r="BR7">
        <f>IF(Template!42:42,"AAAAAFq+D0U=",0)</f>
        <v>0</v>
      </c>
      <c r="BS7">
        <f>IF(Template!43:43,"AAAAAFq+D0Y=",0)</f>
        <v>0</v>
      </c>
      <c r="BT7">
        <f>IF(Template!44:44,"AAAAAFq+D0c=",0)</f>
        <v>0</v>
      </c>
      <c r="BU7">
        <f>IF(Template!45:45,"AAAAAFq+D0g=",0)</f>
        <v>0</v>
      </c>
      <c r="BV7">
        <f>IF(Template!46:46,"AAAAAFq+D0k=",0)</f>
        <v>0</v>
      </c>
      <c r="BW7">
        <f>IF(Template!47:47,"AAAAAFq+D0o=",0)</f>
        <v>0</v>
      </c>
      <c r="BX7">
        <f>IF(Template!48:48,"AAAAAFq+D0s=",0)</f>
        <v>0</v>
      </c>
      <c r="BY7">
        <f>IF(Template!49:49,"AAAAAFq+D0w=",0)</f>
        <v>0</v>
      </c>
      <c r="BZ7">
        <f>IF(Template!50:50,"AAAAAFq+D00=",0)</f>
        <v>0</v>
      </c>
      <c r="CA7">
        <f>IF(Template!51:51,"AAAAAFq+D04=",0)</f>
        <v>0</v>
      </c>
      <c r="CB7">
        <f>IF(Template!52:52,"AAAAAFq+D08=",0)</f>
        <v>0</v>
      </c>
      <c r="CC7">
        <f>IF(Template!53:53,"AAAAAFq+D1A=",0)</f>
        <v>0</v>
      </c>
      <c r="CD7">
        <f>IF(Template!54:54,"AAAAAFq+D1E=",0)</f>
        <v>0</v>
      </c>
      <c r="CE7">
        <f>IF(Template!55:55,"AAAAAFq+D1I=",0)</f>
        <v>0</v>
      </c>
      <c r="CF7">
        <f>IF(Template!56:56,"AAAAAFq+D1M=",0)</f>
        <v>0</v>
      </c>
      <c r="CG7">
        <f>IF(Template!57:57,"AAAAAFq+D1Q=",0)</f>
        <v>0</v>
      </c>
      <c r="CH7">
        <f>IF(Template!58:58,"AAAAAFq+D1U=",0)</f>
        <v>0</v>
      </c>
      <c r="CI7">
        <f>IF(Template!59:59,"AAAAAFq+D1Y=",0)</f>
        <v>0</v>
      </c>
      <c r="CJ7">
        <f>IF(Template!60:60,"AAAAAFq+D1c=",0)</f>
        <v>0</v>
      </c>
      <c r="CK7">
        <f>IF(Template!61:61,"AAAAAFq+D1g=",0)</f>
        <v>0</v>
      </c>
      <c r="CL7">
        <f>IF(Template!62:62,"AAAAAFq+D1k=",0)</f>
        <v>0</v>
      </c>
      <c r="CM7">
        <f>IF(Template!63:63,"AAAAAFq+D1o=",0)</f>
        <v>0</v>
      </c>
      <c r="CN7">
        <f>IF(Template!64:64,"AAAAAFq+D1s=",0)</f>
        <v>0</v>
      </c>
      <c r="CO7">
        <f>IF(Template!65:65,"AAAAAFq+D1w=",0)</f>
        <v>0</v>
      </c>
      <c r="CP7">
        <f>IF(Template!66:66,"AAAAAFq+D10=",0)</f>
        <v>0</v>
      </c>
      <c r="CQ7">
        <f>IF(Template!67:67,"AAAAAFq+D14=",0)</f>
        <v>0</v>
      </c>
      <c r="CR7">
        <f>IF(Template!68:68,"AAAAAFq+D18=",0)</f>
        <v>0</v>
      </c>
      <c r="CS7">
        <f>IF(Template!69:69,"AAAAAFq+D2A=",0)</f>
        <v>0</v>
      </c>
      <c r="CT7">
        <f>IF(Template!70:70,"AAAAAFq+D2E=",0)</f>
        <v>0</v>
      </c>
      <c r="CU7">
        <f>IF(Template!71:71,"AAAAAFq+D2I=",0)</f>
        <v>0</v>
      </c>
      <c r="CV7">
        <f>IF(Template!72:72,"AAAAAFq+D2M=",0)</f>
        <v>0</v>
      </c>
      <c r="CW7">
        <f>IF(Template!73:73,"AAAAAFq+D2Q=",0)</f>
        <v>0</v>
      </c>
      <c r="CX7">
        <f>IF(Template!74:74,"AAAAAFq+D2U=",0)</f>
        <v>0</v>
      </c>
      <c r="CY7">
        <f>IF(Template!75:75,"AAAAAFq+D2Y=",0)</f>
        <v>0</v>
      </c>
      <c r="CZ7">
        <f>IF(Template!76:76,"AAAAAFq+D2c=",0)</f>
        <v>0</v>
      </c>
      <c r="DA7">
        <f>IF(Template!77:77,"AAAAAFq+D2g=",0)</f>
        <v>0</v>
      </c>
      <c r="DB7">
        <f>IF(Template!78:78,"AAAAAFq+D2k=",0)</f>
        <v>0</v>
      </c>
      <c r="DC7">
        <f>IF(Template!79:79,"AAAAAFq+D2o=",0)</f>
        <v>0</v>
      </c>
      <c r="DD7">
        <f>IF(Template!80:80,"AAAAAFq+D2s=",0)</f>
        <v>0</v>
      </c>
      <c r="DE7">
        <f>IF(Template!81:81,"AAAAAFq+D2w=",0)</f>
        <v>0</v>
      </c>
      <c r="DF7">
        <f>IF(Template!82:82,"AAAAAFq+D20=",0)</f>
        <v>0</v>
      </c>
      <c r="DG7">
        <f>IF(Template!83:83,"AAAAAFq+D24=",0)</f>
        <v>0</v>
      </c>
      <c r="DH7">
        <f>IF(Template!84:84,"AAAAAFq+D28=",0)</f>
        <v>0</v>
      </c>
      <c r="DI7">
        <f>IF(Template!85:85,"AAAAAFq+D3A=",0)</f>
        <v>0</v>
      </c>
      <c r="DJ7">
        <f>IF(Template!86:86,"AAAAAFq+D3E=",0)</f>
        <v>0</v>
      </c>
      <c r="DK7">
        <f>IF(Template!87:87,"AAAAAFq+D3I=",0)</f>
        <v>0</v>
      </c>
      <c r="DL7">
        <f>IF(Template!88:88,"AAAAAFq+D3M=",0)</f>
        <v>0</v>
      </c>
      <c r="DM7">
        <f>IF(Template!89:89,"AAAAAFq+D3Q=",0)</f>
        <v>0</v>
      </c>
      <c r="DN7">
        <f>IF(Template!90:90,"AAAAAFq+D3U=",0)</f>
        <v>0</v>
      </c>
      <c r="DO7">
        <f>IF(Template!91:91,"AAAAAFq+D3Y=",0)</f>
        <v>0</v>
      </c>
      <c r="DP7">
        <f>IF(Template!92:92,"AAAAAFq+D3c=",0)</f>
        <v>0</v>
      </c>
      <c r="DQ7">
        <f>IF(Template!93:93,"AAAAAFq+D3g=",0)</f>
        <v>0</v>
      </c>
      <c r="DR7">
        <f>IF(Template!94:94,"AAAAAFq+D3k=",0)</f>
        <v>0</v>
      </c>
      <c r="DS7">
        <f>IF(Template!95:95,"AAAAAFq+D3o=",0)</f>
        <v>0</v>
      </c>
      <c r="DT7">
        <f>IF(Template!96:96,"AAAAAFq+D3s=",0)</f>
        <v>0</v>
      </c>
      <c r="DU7">
        <f>IF(Template!97:97,"AAAAAFq+D3w=",0)</f>
        <v>0</v>
      </c>
      <c r="DV7">
        <f>IF(Template!98:98,"AAAAAFq+D30=",0)</f>
        <v>0</v>
      </c>
      <c r="DW7">
        <f>IF(Template!99:99,"AAAAAFq+D34=",0)</f>
        <v>0</v>
      </c>
      <c r="DX7">
        <f>IF(Template!100:100,"AAAAAFq+D38=",0)</f>
        <v>0</v>
      </c>
      <c r="DY7">
        <f>IF(Template!101:101,"AAAAAFq+D4A=",0)</f>
        <v>0</v>
      </c>
      <c r="DZ7">
        <f>IF(Template!102:102,"AAAAAFq+D4E=",0)</f>
        <v>0</v>
      </c>
      <c r="EA7">
        <f>IF(Template!103:103,"AAAAAFq+D4I=",0)</f>
        <v>0</v>
      </c>
      <c r="EB7">
        <f>IF(Template!104:104,"AAAAAFq+D4M=",0)</f>
        <v>0</v>
      </c>
      <c r="EC7">
        <f>IF(Template!105:105,"AAAAAFq+D4Q=",0)</f>
        <v>0</v>
      </c>
      <c r="ED7">
        <f>IF(Template!106:106,"AAAAAFq+D4U=",0)</f>
        <v>0</v>
      </c>
      <c r="EE7">
        <f>IF(Template!107:107,"AAAAAFq+D4Y=",0)</f>
        <v>0</v>
      </c>
      <c r="EF7">
        <f>IF(Template!108:108,"AAAAAFq+D4c=",0)</f>
        <v>0</v>
      </c>
      <c r="EG7">
        <f>IF(Template!109:109,"AAAAAFq+D4g=",0)</f>
        <v>0</v>
      </c>
      <c r="EH7">
        <f>IF(Template!110:110,"AAAAAFq+D4k=",0)</f>
        <v>0</v>
      </c>
      <c r="EI7">
        <f>IF(Template!111:111,"AAAAAFq+D4o=",0)</f>
        <v>0</v>
      </c>
      <c r="EJ7">
        <f>IF(Template!112:112,"AAAAAFq+D4s=",0)</f>
        <v>0</v>
      </c>
      <c r="EK7">
        <f>IF(Template!113:113,"AAAAAFq+D4w=",0)</f>
        <v>0</v>
      </c>
      <c r="EL7">
        <f>IF(Template!114:114,"AAAAAFq+D40=",0)</f>
        <v>0</v>
      </c>
      <c r="EM7">
        <f>IF(Template!115:115,"AAAAAFq+D44=",0)</f>
        <v>0</v>
      </c>
      <c r="EN7">
        <f>IF(Template!116:116,"AAAAAFq+D48=",0)</f>
        <v>0</v>
      </c>
      <c r="EO7">
        <f>IF(Template!117:117,"AAAAAFq+D5A=",0)</f>
        <v>0</v>
      </c>
      <c r="EP7">
        <f>IF(Template!118:118,"AAAAAFq+D5E=",0)</f>
        <v>0</v>
      </c>
      <c r="EQ7">
        <f>IF(Template!119:119,"AAAAAFq+D5I=",0)</f>
        <v>0</v>
      </c>
      <c r="ER7">
        <f>IF(Template!120:120,"AAAAAFq+D5M=",0)</f>
        <v>0</v>
      </c>
      <c r="ES7">
        <f>IF(Template!121:121,"AAAAAFq+D5Q=",0)</f>
        <v>0</v>
      </c>
      <c r="ET7">
        <f>IF(Template!122:122,"AAAAAFq+D5U=",0)</f>
        <v>0</v>
      </c>
      <c r="EU7">
        <f>IF(Template!123:123,"AAAAAFq+D5Y=",0)</f>
        <v>0</v>
      </c>
      <c r="EV7">
        <f>IF(Template!124:124,"AAAAAFq+D5c=",0)</f>
        <v>0</v>
      </c>
      <c r="EW7">
        <f>IF(Template!125:125,"AAAAAFq+D5g=",0)</f>
        <v>0</v>
      </c>
      <c r="EX7">
        <f>IF(Template!126:126,"AAAAAFq+D5k=",0)</f>
        <v>0</v>
      </c>
      <c r="EY7">
        <f>IF(Template!127:127,"AAAAAFq+D5o=",0)</f>
        <v>0</v>
      </c>
      <c r="EZ7">
        <f>IF(Template!128:128,"AAAAAFq+D5s=",0)</f>
        <v>0</v>
      </c>
      <c r="FA7">
        <f>IF(Template!129:129,"AAAAAFq+D5w=",0)</f>
        <v>0</v>
      </c>
      <c r="FB7">
        <f>IF(Template!130:130,"AAAAAFq+D50=",0)</f>
        <v>0</v>
      </c>
      <c r="FC7">
        <f>IF(Template!131:131,"AAAAAFq+D54=",0)</f>
        <v>0</v>
      </c>
      <c r="FD7">
        <f>IF(Template!132:132,"AAAAAFq+D58=",0)</f>
        <v>0</v>
      </c>
      <c r="FE7">
        <f>IF(Template!133:133,"AAAAAFq+D6A=",0)</f>
        <v>0</v>
      </c>
      <c r="FF7">
        <f>IF(Template!134:134,"AAAAAFq+D6E=",0)</f>
        <v>0</v>
      </c>
      <c r="FG7">
        <f>IF(Template!135:135,"AAAAAFq+D6I=",0)</f>
        <v>0</v>
      </c>
      <c r="FH7">
        <f>IF(Template!136:136,"AAAAAFq+D6M=",0)</f>
        <v>0</v>
      </c>
      <c r="FI7">
        <f>IF(Template!137:137,"AAAAAFq+D6Q=",0)</f>
        <v>0</v>
      </c>
      <c r="FJ7">
        <f>IF(Template!138:138,"AAAAAFq+D6U=",0)</f>
        <v>0</v>
      </c>
      <c r="FK7">
        <f>IF(Template!139:139,"AAAAAFq+D6Y=",0)</f>
        <v>0</v>
      </c>
      <c r="FL7">
        <f>IF(Template!140:140,"AAAAAFq+D6c=",0)</f>
        <v>0</v>
      </c>
      <c r="FM7">
        <f>IF(Template!141:141,"AAAAAFq+D6g=",0)</f>
        <v>0</v>
      </c>
      <c r="FN7">
        <f>IF(Template!142:142,"AAAAAFq+D6k=",0)</f>
        <v>0</v>
      </c>
      <c r="FO7">
        <f>IF(Template!143:143,"AAAAAFq+D6o=",0)</f>
        <v>0</v>
      </c>
      <c r="FP7">
        <f>IF(Template!144:144,"AAAAAFq+D6s=",0)</f>
        <v>0</v>
      </c>
      <c r="FQ7">
        <f>IF(Template!145:145,"AAAAAFq+D6w=",0)</f>
        <v>0</v>
      </c>
      <c r="FR7">
        <f>IF(Template!146:146,"AAAAAFq+D60=",0)</f>
        <v>0</v>
      </c>
      <c r="FS7">
        <f>IF(Template!147:147,"AAAAAFq+D64=",0)</f>
        <v>0</v>
      </c>
      <c r="FT7">
        <f>IF(Template!148:148,"AAAAAFq+D68=",0)</f>
        <v>0</v>
      </c>
      <c r="FU7">
        <f>IF(Template!149:149,"AAAAAFq+D7A=",0)</f>
        <v>0</v>
      </c>
      <c r="FV7">
        <f>IF(Template!150:150,"AAAAAFq+D7E=",0)</f>
        <v>0</v>
      </c>
      <c r="FW7">
        <f>IF(Template!151:151,"AAAAAFq+D7I=",0)</f>
        <v>0</v>
      </c>
      <c r="FX7">
        <f>IF(Template!152:152,"AAAAAFq+D7M=",0)</f>
        <v>0</v>
      </c>
      <c r="FY7">
        <f>IF(Template!153:153,"AAAAAFq+D7Q=",0)</f>
        <v>0</v>
      </c>
      <c r="FZ7">
        <f>IF(Template!154:154,"AAAAAFq+D7U=",0)</f>
        <v>0</v>
      </c>
      <c r="GA7">
        <f>IF(Template!155:155,"AAAAAFq+D7Y=",0)</f>
        <v>0</v>
      </c>
      <c r="GB7">
        <f>IF(Template!156:156,"AAAAAFq+D7c=",0)</f>
        <v>0</v>
      </c>
      <c r="GC7">
        <f>IF(Template!A:A,"AAAAAFq+D7g=",0)</f>
        <v>0</v>
      </c>
      <c r="GD7">
        <f>IF(Template!B:B,"AAAAAFq+D7k=",0)</f>
        <v>0</v>
      </c>
      <c r="GE7">
        <f>IF(Template!C:C,"AAAAAFq+D7o=",0)</f>
        <v>0</v>
      </c>
      <c r="GF7">
        <f>IF(Template!D:D,"AAAAAFq+D7s=",0)</f>
        <v>0</v>
      </c>
      <c r="GG7">
        <f>IF(Template!E:E,"AAAAAFq+D7w=",0)</f>
        <v>0</v>
      </c>
      <c r="GH7">
        <f>IF(Template!F:F,"AAAAAFq+D70=",0)</f>
        <v>0</v>
      </c>
      <c r="GI7">
        <f>IF(Template!G:G,"AAAAAFq+D74=",0)</f>
        <v>0</v>
      </c>
      <c r="GJ7" t="e">
        <f>IF("N",Template!_xlnm.Print_Titles,"AAAAAFq+D78=")</f>
        <v>#VALUE!</v>
      </c>
    </row>
  </sheetData>
  <sheetCalcPr fullCalcOnLoad="1"/>
  <phoneticPr fontId="1" type="noConversion"/>
  <pageMargins left="0.75" right="0.75" top="1" bottom="1" header="0.5" footer="0.5"/>
  <headerFooter alignWithMargins="0"/>
  <customProperties>
    <customPr name="DVSECTIONID" r:id="rId1"/>
  </customProperties>
</worksheet>
</file>

<file path=xl/worksheets/sheet2.xml><?xml version="1.0" encoding="utf-8"?>
<worksheet xmlns="http://schemas.openxmlformats.org/spreadsheetml/2006/main" xmlns:r="http://schemas.openxmlformats.org/officeDocument/2006/relationships">
  <sheetPr codeName="Sheet13" enableFormatConditionsCalculation="0">
    <tabColor indexed="12"/>
  </sheetPr>
  <dimension ref="A1:G409"/>
  <sheetViews>
    <sheetView zoomScaleNormal="100" zoomScaleSheetLayoutView="100" workbookViewId="0">
      <selection activeCell="C4" sqref="C4"/>
    </sheetView>
  </sheetViews>
  <sheetFormatPr defaultRowHeight="12.75"/>
  <cols>
    <col min="1" max="1" width="8.42578125" style="1" customWidth="1"/>
    <col min="2" max="2" width="8" style="4" bestFit="1" customWidth="1"/>
    <col min="3" max="4" width="48.7109375" style="2" customWidth="1"/>
    <col min="5" max="5" width="48.7109375" style="1" customWidth="1"/>
    <col min="6" max="6" width="6.42578125" style="4" bestFit="1" customWidth="1"/>
    <col min="7" max="7" width="11" style="2" customWidth="1"/>
    <col min="8" max="16384" width="9.140625" style="8"/>
  </cols>
  <sheetData>
    <row r="1" spans="1:7" ht="18.75">
      <c r="A1" s="33" t="s">
        <v>761</v>
      </c>
      <c r="B1" s="33"/>
      <c r="C1" s="33"/>
      <c r="D1" s="33"/>
      <c r="E1" s="33"/>
      <c r="F1" s="33"/>
      <c r="G1" s="33"/>
    </row>
    <row r="2" spans="1:7" ht="18.75">
      <c r="A2" s="33" t="s">
        <v>1047</v>
      </c>
      <c r="B2" s="33"/>
      <c r="C2" s="33"/>
      <c r="D2" s="33"/>
      <c r="E2" s="33"/>
      <c r="F2" s="33"/>
      <c r="G2" s="33"/>
    </row>
    <row r="3" spans="1:7" s="11" customFormat="1" ht="38.25">
      <c r="A3" s="9" t="s">
        <v>1305</v>
      </c>
      <c r="B3" s="9" t="s">
        <v>1039</v>
      </c>
      <c r="C3" s="9" t="s">
        <v>1041</v>
      </c>
      <c r="D3" s="9" t="s">
        <v>1044</v>
      </c>
      <c r="E3" s="9" t="s">
        <v>941</v>
      </c>
      <c r="F3" s="19" t="s">
        <v>833</v>
      </c>
      <c r="G3" s="9" t="s">
        <v>1040</v>
      </c>
    </row>
    <row r="4" spans="1:7" ht="76.5">
      <c r="A4" s="1">
        <v>1</v>
      </c>
      <c r="B4" s="4" t="s">
        <v>1048</v>
      </c>
      <c r="C4" s="3" t="s">
        <v>762</v>
      </c>
      <c r="D4" s="2" t="s">
        <v>1150</v>
      </c>
      <c r="E4" s="2" t="s">
        <v>567</v>
      </c>
      <c r="F4" s="4">
        <v>2</v>
      </c>
      <c r="G4" s="2" t="s">
        <v>697</v>
      </c>
    </row>
    <row r="5" spans="1:7" ht="76.5">
      <c r="A5" s="1">
        <v>1</v>
      </c>
      <c r="B5" s="4" t="s">
        <v>1048</v>
      </c>
      <c r="C5" s="3" t="s">
        <v>762</v>
      </c>
      <c r="D5" s="17" t="s">
        <v>1151</v>
      </c>
      <c r="E5" s="2" t="s">
        <v>568</v>
      </c>
      <c r="F5" s="4">
        <v>3</v>
      </c>
    </row>
    <row r="6" spans="1:7" ht="76.5">
      <c r="A6" s="1">
        <v>1</v>
      </c>
      <c r="B6" s="4" t="s">
        <v>1048</v>
      </c>
      <c r="C6" s="3" t="s">
        <v>762</v>
      </c>
      <c r="D6" s="2" t="s">
        <v>1152</v>
      </c>
      <c r="E6" s="2"/>
      <c r="F6" s="4">
        <v>1</v>
      </c>
    </row>
    <row r="7" spans="1:7" ht="76.5">
      <c r="A7" s="1">
        <v>1</v>
      </c>
      <c r="B7" s="4" t="s">
        <v>1048</v>
      </c>
      <c r="C7" s="3" t="s">
        <v>762</v>
      </c>
      <c r="D7" s="2" t="s">
        <v>1153</v>
      </c>
      <c r="E7" s="2"/>
      <c r="F7" s="4">
        <v>1</v>
      </c>
    </row>
    <row r="8" spans="1:7" ht="51">
      <c r="A8" s="1">
        <v>4</v>
      </c>
      <c r="B8" s="4" t="s">
        <v>1048</v>
      </c>
      <c r="C8" s="2" t="s">
        <v>763</v>
      </c>
      <c r="D8" s="2" t="s">
        <v>1154</v>
      </c>
      <c r="E8" s="2" t="s">
        <v>569</v>
      </c>
      <c r="F8" s="4">
        <v>2</v>
      </c>
      <c r="G8" s="2" t="s">
        <v>698</v>
      </c>
    </row>
    <row r="9" spans="1:7" ht="51">
      <c r="A9" s="1">
        <v>4</v>
      </c>
      <c r="B9" s="4" t="s">
        <v>1048</v>
      </c>
      <c r="C9" s="2" t="s">
        <v>763</v>
      </c>
      <c r="E9" s="2" t="s">
        <v>570</v>
      </c>
    </row>
    <row r="10" spans="1:7" ht="89.25">
      <c r="A10" s="1">
        <v>1</v>
      </c>
      <c r="B10" s="4" t="s">
        <v>1048</v>
      </c>
      <c r="C10" s="3" t="s">
        <v>1071</v>
      </c>
      <c r="D10" s="17" t="s">
        <v>827</v>
      </c>
      <c r="E10" s="2" t="s">
        <v>571</v>
      </c>
      <c r="F10" s="4">
        <v>2</v>
      </c>
      <c r="G10" s="2" t="s">
        <v>699</v>
      </c>
    </row>
    <row r="11" spans="1:7" ht="89.25">
      <c r="A11" s="1">
        <v>1</v>
      </c>
      <c r="B11" s="4" t="s">
        <v>1048</v>
      </c>
      <c r="C11" s="3" t="s">
        <v>1071</v>
      </c>
      <c r="D11" s="17" t="s">
        <v>1215</v>
      </c>
      <c r="E11" s="2"/>
      <c r="F11" s="4">
        <v>2</v>
      </c>
    </row>
    <row r="12" spans="1:7" ht="89.25">
      <c r="A12" s="1">
        <v>1</v>
      </c>
      <c r="B12" s="4" t="s">
        <v>1048</v>
      </c>
      <c r="C12" s="3" t="s">
        <v>1071</v>
      </c>
      <c r="D12" s="17" t="s">
        <v>1214</v>
      </c>
      <c r="E12" s="2"/>
      <c r="F12" s="4">
        <v>2</v>
      </c>
    </row>
    <row r="13" spans="1:7" ht="76.5">
      <c r="A13" s="1" t="s">
        <v>165</v>
      </c>
      <c r="B13" s="4" t="s">
        <v>1048</v>
      </c>
      <c r="C13" s="2" t="s">
        <v>1072</v>
      </c>
      <c r="D13" s="2" t="s">
        <v>1216</v>
      </c>
      <c r="E13" s="2" t="s">
        <v>973</v>
      </c>
      <c r="F13" s="4">
        <v>3</v>
      </c>
      <c r="G13" s="2" t="s">
        <v>164</v>
      </c>
    </row>
    <row r="14" spans="1:7" ht="38.25">
      <c r="A14" s="1">
        <v>2</v>
      </c>
      <c r="B14" s="4" t="s">
        <v>1048</v>
      </c>
      <c r="C14" s="2" t="s">
        <v>1072</v>
      </c>
      <c r="D14" s="2" t="s">
        <v>1217</v>
      </c>
      <c r="E14" s="2"/>
      <c r="F14" s="4">
        <v>3</v>
      </c>
    </row>
    <row r="15" spans="1:7" ht="38.25">
      <c r="A15" s="1">
        <v>2</v>
      </c>
      <c r="B15" s="4" t="s">
        <v>1048</v>
      </c>
      <c r="C15" s="2" t="s">
        <v>1072</v>
      </c>
      <c r="D15" s="17" t="s">
        <v>1218</v>
      </c>
      <c r="E15" s="2"/>
      <c r="F15" s="4">
        <v>1</v>
      </c>
    </row>
    <row r="16" spans="1:7" ht="76.5">
      <c r="A16" s="1">
        <v>4</v>
      </c>
      <c r="B16" s="4" t="s">
        <v>1048</v>
      </c>
      <c r="C16" s="2" t="s">
        <v>1072</v>
      </c>
      <c r="D16" s="2" t="s">
        <v>1216</v>
      </c>
      <c r="E16" s="2" t="s">
        <v>973</v>
      </c>
      <c r="F16" s="4">
        <v>3</v>
      </c>
      <c r="G16" s="2" t="s">
        <v>164</v>
      </c>
    </row>
    <row r="17" spans="1:7" ht="38.25">
      <c r="A17" s="1">
        <v>4</v>
      </c>
      <c r="B17" s="4" t="s">
        <v>1048</v>
      </c>
      <c r="C17" s="2" t="s">
        <v>1072</v>
      </c>
      <c r="D17" s="2" t="s">
        <v>1217</v>
      </c>
      <c r="E17" s="2"/>
      <c r="F17" s="4">
        <v>3</v>
      </c>
    </row>
    <row r="18" spans="1:7" ht="38.25">
      <c r="A18" s="1">
        <v>4</v>
      </c>
      <c r="B18" s="4" t="s">
        <v>1048</v>
      </c>
      <c r="C18" s="2" t="s">
        <v>1072</v>
      </c>
      <c r="D18" s="17" t="s">
        <v>1218</v>
      </c>
      <c r="E18" s="2"/>
      <c r="F18" s="4">
        <v>1</v>
      </c>
    </row>
    <row r="19" spans="1:7" ht="38.25">
      <c r="A19" s="1">
        <v>3</v>
      </c>
      <c r="B19" s="4" t="s">
        <v>1048</v>
      </c>
      <c r="C19" s="2" t="s">
        <v>1073</v>
      </c>
      <c r="D19" s="17" t="s">
        <v>1219</v>
      </c>
      <c r="E19" s="2" t="s">
        <v>581</v>
      </c>
      <c r="F19" s="4">
        <v>2</v>
      </c>
      <c r="G19" s="2" t="s">
        <v>700</v>
      </c>
    </row>
    <row r="20" spans="1:7" ht="25.5">
      <c r="A20" s="1">
        <v>3</v>
      </c>
      <c r="B20" s="4" t="s">
        <v>1048</v>
      </c>
      <c r="C20" s="2" t="s">
        <v>1073</v>
      </c>
      <c r="D20" s="17" t="s">
        <v>1220</v>
      </c>
      <c r="E20" s="2" t="s">
        <v>582</v>
      </c>
      <c r="F20" s="4">
        <v>1</v>
      </c>
    </row>
    <row r="21" spans="1:7" ht="38.25">
      <c r="A21" s="1">
        <v>3</v>
      </c>
      <c r="B21" s="4" t="s">
        <v>1048</v>
      </c>
      <c r="C21" s="2" t="s">
        <v>1073</v>
      </c>
      <c r="D21" s="2" t="s">
        <v>1221</v>
      </c>
      <c r="E21" s="2"/>
      <c r="F21" s="4">
        <v>2</v>
      </c>
    </row>
    <row r="22" spans="1:7" ht="25.5">
      <c r="A22" s="1">
        <v>3</v>
      </c>
      <c r="B22" s="4" t="s">
        <v>1048</v>
      </c>
      <c r="C22" s="2" t="s">
        <v>1073</v>
      </c>
      <c r="D22" s="17" t="s">
        <v>1222</v>
      </c>
      <c r="E22" s="2"/>
      <c r="F22" s="4">
        <v>1</v>
      </c>
    </row>
    <row r="23" spans="1:7" ht="165.75">
      <c r="A23" s="1">
        <v>2</v>
      </c>
      <c r="B23" s="4" t="s">
        <v>1048</v>
      </c>
      <c r="C23" s="3" t="s">
        <v>1074</v>
      </c>
      <c r="D23" s="17" t="s">
        <v>1223</v>
      </c>
      <c r="E23" s="2" t="s">
        <v>583</v>
      </c>
      <c r="F23" s="4">
        <v>3</v>
      </c>
      <c r="G23" s="2" t="s">
        <v>701</v>
      </c>
    </row>
    <row r="24" spans="1:7" ht="114.75">
      <c r="A24" s="1">
        <v>2</v>
      </c>
      <c r="B24" s="4" t="s">
        <v>1048</v>
      </c>
      <c r="C24" s="3" t="s">
        <v>1074</v>
      </c>
      <c r="D24" s="17" t="s">
        <v>1224</v>
      </c>
      <c r="E24" s="2"/>
      <c r="F24" s="4">
        <v>1</v>
      </c>
    </row>
    <row r="25" spans="1:7" ht="114.75">
      <c r="A25" s="1">
        <v>2</v>
      </c>
      <c r="B25" s="4" t="s">
        <v>1048</v>
      </c>
      <c r="C25" s="3" t="s">
        <v>1074</v>
      </c>
      <c r="D25" s="17" t="s">
        <v>1225</v>
      </c>
      <c r="E25" s="2"/>
      <c r="F25" s="4">
        <v>2</v>
      </c>
    </row>
    <row r="26" spans="1:7" ht="114.75">
      <c r="A26" s="1">
        <v>2</v>
      </c>
      <c r="B26" s="4" t="s">
        <v>1048</v>
      </c>
      <c r="C26" s="3" t="s">
        <v>1074</v>
      </c>
      <c r="D26" s="17" t="s">
        <v>1226</v>
      </c>
      <c r="E26" s="2"/>
      <c r="F26" s="4">
        <v>0</v>
      </c>
    </row>
    <row r="27" spans="1:7" ht="114.75">
      <c r="A27" s="1">
        <v>2</v>
      </c>
      <c r="B27" s="4" t="s">
        <v>1048</v>
      </c>
      <c r="C27" s="3" t="s">
        <v>1074</v>
      </c>
      <c r="D27" s="17" t="s">
        <v>1227</v>
      </c>
      <c r="E27" s="2"/>
      <c r="F27" s="4">
        <v>1</v>
      </c>
    </row>
    <row r="28" spans="1:7" ht="114.75">
      <c r="A28" s="1">
        <v>2</v>
      </c>
      <c r="B28" s="4" t="s">
        <v>1048</v>
      </c>
      <c r="C28" s="3" t="s">
        <v>1074</v>
      </c>
      <c r="D28" s="17" t="s">
        <v>1228</v>
      </c>
      <c r="E28" s="2"/>
      <c r="F28" s="4">
        <v>3</v>
      </c>
    </row>
    <row r="29" spans="1:7" ht="114.75">
      <c r="A29" s="1">
        <v>2</v>
      </c>
      <c r="B29" s="4" t="s">
        <v>1048</v>
      </c>
      <c r="C29" s="3" t="s">
        <v>1074</v>
      </c>
      <c r="D29" s="17" t="s">
        <v>1229</v>
      </c>
      <c r="E29" s="2"/>
      <c r="F29" s="4">
        <v>3</v>
      </c>
    </row>
    <row r="30" spans="1:7" ht="165.75">
      <c r="A30" s="1">
        <v>3</v>
      </c>
      <c r="B30" s="4" t="s">
        <v>1048</v>
      </c>
      <c r="C30" s="3" t="s">
        <v>1074</v>
      </c>
      <c r="D30" s="17" t="s">
        <v>1223</v>
      </c>
      <c r="E30" s="2" t="s">
        <v>583</v>
      </c>
      <c r="F30" s="4">
        <v>3</v>
      </c>
      <c r="G30" s="2" t="s">
        <v>701</v>
      </c>
    </row>
    <row r="31" spans="1:7" ht="114.75">
      <c r="A31" s="1">
        <v>3</v>
      </c>
      <c r="B31" s="4" t="s">
        <v>1048</v>
      </c>
      <c r="C31" s="3" t="s">
        <v>1074</v>
      </c>
      <c r="D31" s="17" t="s">
        <v>1224</v>
      </c>
      <c r="E31" s="2"/>
      <c r="F31" s="4">
        <v>1</v>
      </c>
    </row>
    <row r="32" spans="1:7" ht="114.75">
      <c r="A32" s="1">
        <v>3</v>
      </c>
      <c r="B32" s="4" t="s">
        <v>1048</v>
      </c>
      <c r="C32" s="3" t="s">
        <v>1074</v>
      </c>
      <c r="D32" s="17" t="s">
        <v>1225</v>
      </c>
      <c r="E32" s="2"/>
      <c r="F32" s="4">
        <v>2</v>
      </c>
    </row>
    <row r="33" spans="1:7" ht="114.75">
      <c r="A33" s="1">
        <v>3</v>
      </c>
      <c r="B33" s="4" t="s">
        <v>1048</v>
      </c>
      <c r="C33" s="3" t="s">
        <v>1074</v>
      </c>
      <c r="D33" s="17" t="s">
        <v>1226</v>
      </c>
      <c r="E33" s="2"/>
      <c r="F33" s="4">
        <v>0</v>
      </c>
    </row>
    <row r="34" spans="1:7" ht="114.75">
      <c r="A34" s="1">
        <v>3</v>
      </c>
      <c r="B34" s="4" t="s">
        <v>1048</v>
      </c>
      <c r="C34" s="3" t="s">
        <v>1074</v>
      </c>
      <c r="D34" s="17" t="s">
        <v>1227</v>
      </c>
      <c r="E34" s="2"/>
      <c r="F34" s="4">
        <v>1</v>
      </c>
    </row>
    <row r="35" spans="1:7" ht="114.75">
      <c r="A35" s="1">
        <v>3</v>
      </c>
      <c r="B35" s="4" t="s">
        <v>1048</v>
      </c>
      <c r="C35" s="3" t="s">
        <v>1074</v>
      </c>
      <c r="D35" s="17" t="s">
        <v>1228</v>
      </c>
      <c r="E35" s="2"/>
      <c r="F35" s="4">
        <v>3</v>
      </c>
    </row>
    <row r="36" spans="1:7" ht="114.75">
      <c r="A36" s="1">
        <v>3</v>
      </c>
      <c r="B36" s="4" t="s">
        <v>1048</v>
      </c>
      <c r="C36" s="3" t="s">
        <v>1074</v>
      </c>
      <c r="D36" s="17" t="s">
        <v>1229</v>
      </c>
      <c r="E36" s="2"/>
      <c r="F36" s="4">
        <v>3</v>
      </c>
    </row>
    <row r="37" spans="1:7" ht="63.75">
      <c r="A37" s="1">
        <v>1</v>
      </c>
      <c r="B37" s="4" t="s">
        <v>1048</v>
      </c>
      <c r="C37" s="3" t="s">
        <v>1075</v>
      </c>
      <c r="D37" s="17" t="s">
        <v>1230</v>
      </c>
      <c r="E37" s="2" t="s">
        <v>584</v>
      </c>
      <c r="F37" s="4">
        <v>2</v>
      </c>
      <c r="G37" s="2" t="s">
        <v>166</v>
      </c>
    </row>
    <row r="38" spans="1:7" ht="63.75">
      <c r="A38" s="1">
        <v>1</v>
      </c>
      <c r="B38" s="4" t="s">
        <v>1048</v>
      </c>
      <c r="C38" s="3" t="s">
        <v>1075</v>
      </c>
      <c r="D38" s="17" t="s">
        <v>1230</v>
      </c>
      <c r="E38" s="2" t="s">
        <v>584</v>
      </c>
      <c r="F38" s="4">
        <v>2</v>
      </c>
      <c r="G38" s="2" t="s">
        <v>167</v>
      </c>
    </row>
    <row r="39" spans="1:7" ht="63.75">
      <c r="A39" s="1">
        <v>2</v>
      </c>
      <c r="B39" s="4" t="s">
        <v>1048</v>
      </c>
      <c r="C39" s="3" t="s">
        <v>1075</v>
      </c>
      <c r="D39" s="2" t="s">
        <v>1263</v>
      </c>
      <c r="E39" s="2"/>
      <c r="F39" s="4">
        <v>0</v>
      </c>
    </row>
    <row r="40" spans="1:7" ht="63.75">
      <c r="A40" s="1">
        <v>2</v>
      </c>
      <c r="B40" s="4" t="s">
        <v>1048</v>
      </c>
      <c r="C40" s="3" t="s">
        <v>1075</v>
      </c>
      <c r="D40" s="2" t="s">
        <v>1263</v>
      </c>
      <c r="E40" s="2"/>
      <c r="F40" s="4">
        <v>0</v>
      </c>
    </row>
    <row r="41" spans="1:7" ht="63.75">
      <c r="A41" s="1">
        <v>2</v>
      </c>
      <c r="B41" s="4" t="s">
        <v>1048</v>
      </c>
      <c r="C41" s="2" t="s">
        <v>1076</v>
      </c>
      <c r="D41" s="17" t="s">
        <v>1231</v>
      </c>
      <c r="E41" s="2" t="s">
        <v>585</v>
      </c>
      <c r="F41" s="4">
        <v>2</v>
      </c>
      <c r="G41" s="2" t="s">
        <v>168</v>
      </c>
    </row>
    <row r="42" spans="1:7" ht="63.75">
      <c r="A42" s="1">
        <v>2</v>
      </c>
      <c r="B42" s="4" t="s">
        <v>1048</v>
      </c>
      <c r="C42" s="2" t="s">
        <v>1076</v>
      </c>
      <c r="D42" s="2" t="s">
        <v>1232</v>
      </c>
      <c r="E42" s="2"/>
      <c r="F42" s="4">
        <v>1</v>
      </c>
    </row>
    <row r="43" spans="1:7" ht="63.75">
      <c r="A43" s="1">
        <v>2</v>
      </c>
      <c r="B43" s="4" t="s">
        <v>1048</v>
      </c>
      <c r="C43" s="2" t="s">
        <v>1076</v>
      </c>
      <c r="E43" s="2"/>
    </row>
    <row r="44" spans="1:7" ht="89.25">
      <c r="A44" s="1">
        <v>1</v>
      </c>
      <c r="B44" s="4" t="s">
        <v>937</v>
      </c>
      <c r="C44" s="2" t="s">
        <v>1077</v>
      </c>
      <c r="D44" s="17" t="s">
        <v>1234</v>
      </c>
      <c r="E44" s="2" t="s">
        <v>586</v>
      </c>
      <c r="F44" s="4">
        <v>3</v>
      </c>
      <c r="G44" s="2" t="s">
        <v>702</v>
      </c>
    </row>
    <row r="45" spans="1:7" ht="38.25">
      <c r="A45" s="1">
        <v>1</v>
      </c>
      <c r="B45" s="4" t="s">
        <v>937</v>
      </c>
      <c r="C45" s="2" t="s">
        <v>1077</v>
      </c>
      <c r="D45" s="17" t="s">
        <v>1235</v>
      </c>
      <c r="E45" s="2" t="s">
        <v>606</v>
      </c>
      <c r="F45" s="4">
        <v>2</v>
      </c>
    </row>
    <row r="46" spans="1:7" ht="89.25">
      <c r="A46" s="1">
        <v>3</v>
      </c>
      <c r="B46" s="4" t="s">
        <v>937</v>
      </c>
      <c r="C46" s="2" t="s">
        <v>1077</v>
      </c>
      <c r="D46" s="17" t="s">
        <v>1234</v>
      </c>
      <c r="E46" s="2" t="s">
        <v>586</v>
      </c>
      <c r="F46" s="4">
        <v>3</v>
      </c>
      <c r="G46" s="2" t="s">
        <v>702</v>
      </c>
    </row>
    <row r="47" spans="1:7" ht="38.25">
      <c r="A47" s="1">
        <v>3</v>
      </c>
      <c r="B47" s="4" t="s">
        <v>937</v>
      </c>
      <c r="C47" s="2" t="s">
        <v>1077</v>
      </c>
      <c r="D47" s="17" t="s">
        <v>1235</v>
      </c>
      <c r="E47" s="2" t="s">
        <v>606</v>
      </c>
      <c r="F47" s="4">
        <v>2</v>
      </c>
    </row>
    <row r="48" spans="1:7" ht="38.25">
      <c r="A48" s="1">
        <v>3</v>
      </c>
      <c r="B48" s="4" t="s">
        <v>937</v>
      </c>
      <c r="C48" s="3" t="s">
        <v>1233</v>
      </c>
      <c r="D48" s="17" t="s">
        <v>1236</v>
      </c>
      <c r="E48" s="2" t="s">
        <v>607</v>
      </c>
      <c r="F48" s="4">
        <v>3</v>
      </c>
      <c r="G48" s="2" t="s">
        <v>703</v>
      </c>
    </row>
    <row r="49" spans="1:7" ht="25.5">
      <c r="A49" s="1">
        <v>3</v>
      </c>
      <c r="B49" s="4" t="s">
        <v>937</v>
      </c>
      <c r="C49" s="3" t="s">
        <v>704</v>
      </c>
      <c r="E49" s="2" t="s">
        <v>608</v>
      </c>
    </row>
    <row r="50" spans="1:7" ht="25.5">
      <c r="A50" s="1">
        <v>3</v>
      </c>
      <c r="B50" s="4" t="s">
        <v>937</v>
      </c>
      <c r="C50" s="3" t="s">
        <v>705</v>
      </c>
      <c r="E50" s="2"/>
    </row>
    <row r="51" spans="1:7" ht="38.25">
      <c r="A51" s="1">
        <v>3</v>
      </c>
      <c r="B51" s="4" t="s">
        <v>937</v>
      </c>
      <c r="C51" s="3" t="s">
        <v>706</v>
      </c>
      <c r="E51" s="2"/>
    </row>
    <row r="52" spans="1:7" ht="51">
      <c r="A52" s="1">
        <v>1</v>
      </c>
      <c r="B52" s="4" t="s">
        <v>937</v>
      </c>
      <c r="C52" s="2" t="s">
        <v>1078</v>
      </c>
      <c r="D52" s="17" t="s">
        <v>1237</v>
      </c>
      <c r="E52" s="2" t="s">
        <v>609</v>
      </c>
      <c r="F52" s="4">
        <v>3</v>
      </c>
      <c r="G52" s="2" t="s">
        <v>707</v>
      </c>
    </row>
    <row r="53" spans="1:7" ht="38.25">
      <c r="A53" s="1">
        <v>1</v>
      </c>
      <c r="B53" s="4" t="s">
        <v>937</v>
      </c>
      <c r="C53" s="2" t="s">
        <v>1078</v>
      </c>
      <c r="D53" s="2" t="s">
        <v>1238</v>
      </c>
      <c r="E53" s="2" t="s">
        <v>610</v>
      </c>
      <c r="F53" s="4">
        <v>3</v>
      </c>
    </row>
    <row r="54" spans="1:7" ht="51">
      <c r="A54" s="1">
        <v>3</v>
      </c>
      <c r="B54" s="4" t="s">
        <v>937</v>
      </c>
      <c r="C54" s="2" t="s">
        <v>1078</v>
      </c>
      <c r="D54" s="17" t="s">
        <v>1237</v>
      </c>
      <c r="E54" s="2" t="s">
        <v>609</v>
      </c>
      <c r="F54" s="4">
        <v>3</v>
      </c>
      <c r="G54" s="2" t="s">
        <v>707</v>
      </c>
    </row>
    <row r="55" spans="1:7" ht="38.25">
      <c r="A55" s="1">
        <v>3</v>
      </c>
      <c r="B55" s="4" t="s">
        <v>937</v>
      </c>
      <c r="C55" s="2" t="s">
        <v>1078</v>
      </c>
      <c r="D55" s="2" t="s">
        <v>1238</v>
      </c>
      <c r="E55" s="2" t="s">
        <v>610</v>
      </c>
      <c r="F55" s="4">
        <v>3</v>
      </c>
    </row>
    <row r="56" spans="1:7" ht="114.75">
      <c r="A56" s="1">
        <v>3</v>
      </c>
      <c r="B56" s="4" t="s">
        <v>937</v>
      </c>
      <c r="C56" s="3" t="s">
        <v>1079</v>
      </c>
      <c r="D56" s="17" t="s">
        <v>1264</v>
      </c>
      <c r="E56" s="2" t="s">
        <v>611</v>
      </c>
      <c r="F56" s="4">
        <v>3</v>
      </c>
      <c r="G56" s="2" t="s">
        <v>708</v>
      </c>
    </row>
    <row r="57" spans="1:7" ht="114.75">
      <c r="A57" s="1">
        <v>3</v>
      </c>
      <c r="B57" s="4" t="s">
        <v>937</v>
      </c>
      <c r="C57" s="3" t="s">
        <v>1079</v>
      </c>
      <c r="D57" s="2" t="s">
        <v>1239</v>
      </c>
      <c r="E57" s="2" t="s">
        <v>622</v>
      </c>
      <c r="F57" s="4">
        <v>3</v>
      </c>
    </row>
    <row r="58" spans="1:7" ht="114.75">
      <c r="A58" s="1">
        <v>3</v>
      </c>
      <c r="B58" s="4" t="s">
        <v>937</v>
      </c>
      <c r="C58" s="3" t="s">
        <v>1079</v>
      </c>
      <c r="D58" s="2" t="s">
        <v>1240</v>
      </c>
      <c r="E58" s="2" t="s">
        <v>618</v>
      </c>
      <c r="F58" s="4">
        <v>3</v>
      </c>
    </row>
    <row r="59" spans="1:7" ht="114.75">
      <c r="A59" s="1">
        <v>3</v>
      </c>
      <c r="B59" s="4" t="s">
        <v>937</v>
      </c>
      <c r="C59" s="3" t="s">
        <v>1079</v>
      </c>
      <c r="D59" s="17" t="s">
        <v>1241</v>
      </c>
      <c r="E59" s="2" t="s">
        <v>619</v>
      </c>
      <c r="F59" s="4">
        <v>3</v>
      </c>
    </row>
    <row r="60" spans="1:7" ht="38.25">
      <c r="A60" s="1">
        <v>3</v>
      </c>
      <c r="B60" s="4" t="s">
        <v>937</v>
      </c>
      <c r="C60" s="3" t="s">
        <v>1080</v>
      </c>
      <c r="E60" s="2" t="s">
        <v>620</v>
      </c>
      <c r="G60" s="2" t="s">
        <v>169</v>
      </c>
    </row>
    <row r="61" spans="1:7" ht="89.25">
      <c r="A61" s="1">
        <v>5</v>
      </c>
      <c r="B61" s="4" t="s">
        <v>937</v>
      </c>
      <c r="C61" s="3" t="s">
        <v>1081</v>
      </c>
      <c r="D61" s="2" t="s">
        <v>1242</v>
      </c>
      <c r="E61" s="2" t="s">
        <v>621</v>
      </c>
      <c r="F61" s="4">
        <v>3</v>
      </c>
      <c r="G61" s="2" t="s">
        <v>170</v>
      </c>
    </row>
    <row r="62" spans="1:7" ht="38.25">
      <c r="A62" s="1">
        <v>4</v>
      </c>
      <c r="B62" s="4" t="s">
        <v>939</v>
      </c>
      <c r="C62" s="2" t="s">
        <v>1082</v>
      </c>
      <c r="D62" s="17" t="s">
        <v>1243</v>
      </c>
      <c r="E62" s="2" t="s">
        <v>623</v>
      </c>
      <c r="F62" s="4">
        <v>3</v>
      </c>
      <c r="G62" s="2" t="s">
        <v>709</v>
      </c>
    </row>
    <row r="63" spans="1:7" ht="25.5">
      <c r="A63" s="1">
        <v>4</v>
      </c>
      <c r="B63" s="4" t="s">
        <v>939</v>
      </c>
      <c r="C63" s="2" t="s">
        <v>1082</v>
      </c>
      <c r="E63" s="2" t="s">
        <v>625</v>
      </c>
    </row>
    <row r="64" spans="1:7" ht="25.5">
      <c r="A64" s="1">
        <v>4</v>
      </c>
      <c r="B64" s="4" t="s">
        <v>939</v>
      </c>
      <c r="C64" s="2" t="s">
        <v>1082</v>
      </c>
      <c r="E64" s="2" t="s">
        <v>624</v>
      </c>
    </row>
    <row r="65" spans="1:7" ht="89.25">
      <c r="A65" s="1">
        <v>4</v>
      </c>
      <c r="B65" s="4" t="s">
        <v>939</v>
      </c>
      <c r="C65" s="3" t="s">
        <v>1083</v>
      </c>
      <c r="D65" s="17" t="s">
        <v>1265</v>
      </c>
      <c r="E65" s="2"/>
      <c r="F65" s="4">
        <v>1</v>
      </c>
      <c r="G65" s="2" t="s">
        <v>710</v>
      </c>
    </row>
    <row r="66" spans="1:7" ht="89.25">
      <c r="A66" s="1">
        <v>4</v>
      </c>
      <c r="B66" s="4" t="s">
        <v>939</v>
      </c>
      <c r="C66" s="3" t="s">
        <v>1083</v>
      </c>
      <c r="D66" s="17" t="s">
        <v>1266</v>
      </c>
      <c r="E66" s="2"/>
      <c r="F66" s="4">
        <v>2</v>
      </c>
    </row>
    <row r="67" spans="1:7" ht="89.25">
      <c r="A67" s="1">
        <v>4</v>
      </c>
      <c r="B67" s="4" t="s">
        <v>939</v>
      </c>
      <c r="C67" s="3" t="s">
        <v>1083</v>
      </c>
      <c r="D67" s="2" t="s">
        <v>1244</v>
      </c>
      <c r="E67" s="2"/>
      <c r="F67" s="4">
        <v>2</v>
      </c>
    </row>
    <row r="68" spans="1:7" ht="89.25">
      <c r="A68" s="1">
        <v>4</v>
      </c>
      <c r="B68" s="4" t="s">
        <v>939</v>
      </c>
      <c r="C68" s="3" t="s">
        <v>1083</v>
      </c>
      <c r="D68" s="17" t="s">
        <v>1245</v>
      </c>
      <c r="E68" s="2"/>
      <c r="F68" s="4">
        <v>0</v>
      </c>
    </row>
    <row r="69" spans="1:7" ht="63.75">
      <c r="A69" s="1">
        <v>4</v>
      </c>
      <c r="B69" s="4" t="s">
        <v>939</v>
      </c>
      <c r="C69" s="2" t="s">
        <v>1084</v>
      </c>
      <c r="D69" s="17" t="s">
        <v>1246</v>
      </c>
      <c r="E69" s="2" t="s">
        <v>626</v>
      </c>
      <c r="F69" s="4">
        <v>2</v>
      </c>
      <c r="G69" s="2" t="s">
        <v>171</v>
      </c>
    </row>
    <row r="70" spans="1:7" ht="25.5">
      <c r="A70" s="1">
        <v>4</v>
      </c>
      <c r="B70" s="4" t="s">
        <v>939</v>
      </c>
      <c r="C70" s="2" t="s">
        <v>1084</v>
      </c>
      <c r="D70" s="17" t="s">
        <v>1247</v>
      </c>
      <c r="E70" s="2" t="s">
        <v>627</v>
      </c>
      <c r="F70" s="4">
        <v>0</v>
      </c>
    </row>
    <row r="71" spans="1:7" ht="25.5">
      <c r="A71" s="1">
        <v>4</v>
      </c>
      <c r="B71" s="4" t="s">
        <v>939</v>
      </c>
      <c r="C71" s="2" t="s">
        <v>1084</v>
      </c>
      <c r="D71" s="17" t="s">
        <v>1248</v>
      </c>
      <c r="E71" s="2"/>
      <c r="F71" s="4">
        <v>2</v>
      </c>
    </row>
    <row r="72" spans="1:7" ht="63.75">
      <c r="A72" s="1">
        <v>5</v>
      </c>
      <c r="B72" s="4" t="s">
        <v>939</v>
      </c>
      <c r="C72" s="2" t="s">
        <v>1085</v>
      </c>
      <c r="D72" s="17" t="s">
        <v>1249</v>
      </c>
      <c r="E72" s="2" t="s">
        <v>628</v>
      </c>
      <c r="F72" s="4">
        <v>2</v>
      </c>
      <c r="G72" s="2" t="s">
        <v>172</v>
      </c>
    </row>
    <row r="73" spans="1:7" ht="51">
      <c r="A73" s="1">
        <v>5</v>
      </c>
      <c r="B73" s="4" t="s">
        <v>939</v>
      </c>
      <c r="C73" s="2" t="s">
        <v>1085</v>
      </c>
      <c r="D73" s="17" t="s">
        <v>1250</v>
      </c>
      <c r="E73" s="2" t="s">
        <v>629</v>
      </c>
      <c r="F73" s="4">
        <v>3</v>
      </c>
    </row>
    <row r="74" spans="1:7" ht="51">
      <c r="A74" s="1">
        <v>5</v>
      </c>
      <c r="B74" s="4" t="s">
        <v>939</v>
      </c>
      <c r="C74" s="2" t="s">
        <v>1085</v>
      </c>
      <c r="D74" s="17" t="s">
        <v>1251</v>
      </c>
      <c r="E74" s="2" t="s">
        <v>630</v>
      </c>
      <c r="F74" s="4">
        <v>1</v>
      </c>
    </row>
    <row r="75" spans="1:7" ht="51">
      <c r="A75" s="1">
        <v>5</v>
      </c>
      <c r="B75" s="4" t="s">
        <v>939</v>
      </c>
      <c r="C75" s="2" t="s">
        <v>1085</v>
      </c>
      <c r="D75" s="17" t="s">
        <v>1252</v>
      </c>
      <c r="E75" s="2"/>
      <c r="F75" s="4">
        <v>1</v>
      </c>
    </row>
    <row r="76" spans="1:7" ht="51">
      <c r="A76" s="1">
        <v>5</v>
      </c>
      <c r="B76" s="4" t="s">
        <v>939</v>
      </c>
      <c r="C76" s="2" t="s">
        <v>1085</v>
      </c>
      <c r="D76" s="2" t="s">
        <v>1253</v>
      </c>
      <c r="E76" s="2"/>
      <c r="F76" s="4">
        <v>2</v>
      </c>
    </row>
    <row r="77" spans="1:7" ht="51">
      <c r="A77" s="1">
        <v>5</v>
      </c>
      <c r="B77" s="4" t="s">
        <v>939</v>
      </c>
      <c r="C77" s="2" t="s">
        <v>1085</v>
      </c>
      <c r="D77" s="2" t="s">
        <v>1254</v>
      </c>
      <c r="E77" s="2"/>
      <c r="F77" s="4">
        <v>0</v>
      </c>
    </row>
    <row r="78" spans="1:7" ht="63.75">
      <c r="A78" s="1">
        <v>2</v>
      </c>
      <c r="B78" s="4" t="s">
        <v>940</v>
      </c>
      <c r="C78" s="2" t="s">
        <v>1086</v>
      </c>
      <c r="D78" s="17" t="s">
        <v>1255</v>
      </c>
      <c r="E78" s="2" t="s">
        <v>633</v>
      </c>
      <c r="F78" s="4">
        <v>2</v>
      </c>
      <c r="G78" s="2" t="s">
        <v>711</v>
      </c>
    </row>
    <row r="79" spans="1:7" ht="63.75">
      <c r="A79" s="1">
        <v>2</v>
      </c>
      <c r="B79" s="4" t="s">
        <v>940</v>
      </c>
      <c r="C79" s="2" t="s">
        <v>1086</v>
      </c>
      <c r="E79" s="2" t="s">
        <v>631</v>
      </c>
    </row>
    <row r="80" spans="1:7" ht="63.75">
      <c r="A80" s="1">
        <v>2</v>
      </c>
      <c r="B80" s="4" t="s">
        <v>940</v>
      </c>
      <c r="C80" s="2" t="s">
        <v>1086</v>
      </c>
      <c r="E80" s="2" t="s">
        <v>632</v>
      </c>
    </row>
    <row r="81" spans="1:7" ht="89.25">
      <c r="A81" s="1">
        <v>2</v>
      </c>
      <c r="B81" s="4" t="s">
        <v>940</v>
      </c>
      <c r="C81" s="3" t="s">
        <v>1087</v>
      </c>
      <c r="D81" s="17" t="s">
        <v>1256</v>
      </c>
      <c r="E81" s="2" t="s">
        <v>634</v>
      </c>
      <c r="F81" s="4">
        <v>2</v>
      </c>
      <c r="G81" s="2" t="s">
        <v>712</v>
      </c>
    </row>
    <row r="82" spans="1:7" ht="89.25">
      <c r="A82" s="1">
        <v>2</v>
      </c>
      <c r="B82" s="4" t="s">
        <v>940</v>
      </c>
      <c r="C82" s="3" t="s">
        <v>1087</v>
      </c>
      <c r="D82" s="17" t="s">
        <v>1257</v>
      </c>
      <c r="E82" s="2" t="s">
        <v>635</v>
      </c>
      <c r="F82" s="4">
        <v>2</v>
      </c>
    </row>
    <row r="83" spans="1:7" ht="89.25">
      <c r="A83" s="1">
        <v>2</v>
      </c>
      <c r="B83" s="4" t="s">
        <v>940</v>
      </c>
      <c r="C83" s="3" t="s">
        <v>1087</v>
      </c>
      <c r="D83" s="17" t="s">
        <v>1258</v>
      </c>
      <c r="E83" s="2"/>
      <c r="F83" s="4">
        <v>0</v>
      </c>
    </row>
    <row r="84" spans="1:7" ht="89.25">
      <c r="A84" s="1">
        <v>2</v>
      </c>
      <c r="B84" s="4" t="s">
        <v>940</v>
      </c>
      <c r="C84" s="3" t="s">
        <v>1087</v>
      </c>
      <c r="D84" s="2" t="s">
        <v>1259</v>
      </c>
      <c r="E84" s="2"/>
      <c r="F84" s="4">
        <v>2</v>
      </c>
    </row>
    <row r="85" spans="1:7" ht="76.5">
      <c r="A85" s="1">
        <v>2</v>
      </c>
      <c r="B85" s="4" t="s">
        <v>940</v>
      </c>
      <c r="C85" s="3" t="s">
        <v>1088</v>
      </c>
      <c r="D85" s="17" t="s">
        <v>1267</v>
      </c>
      <c r="E85" s="2" t="s">
        <v>638</v>
      </c>
      <c r="F85" s="4">
        <v>1</v>
      </c>
      <c r="G85" s="2" t="s">
        <v>713</v>
      </c>
    </row>
    <row r="86" spans="1:7" ht="76.5">
      <c r="A86" s="1">
        <v>2</v>
      </c>
      <c r="B86" s="4" t="s">
        <v>940</v>
      </c>
      <c r="C86" s="3" t="s">
        <v>1088</v>
      </c>
      <c r="D86" s="17" t="s">
        <v>1260</v>
      </c>
      <c r="E86" s="2" t="s">
        <v>636</v>
      </c>
      <c r="F86" s="4">
        <v>1</v>
      </c>
    </row>
    <row r="87" spans="1:7" ht="76.5">
      <c r="A87" s="1">
        <v>2</v>
      </c>
      <c r="B87" s="4" t="s">
        <v>940</v>
      </c>
      <c r="C87" s="3" t="s">
        <v>1088</v>
      </c>
      <c r="D87" s="17" t="s">
        <v>1261</v>
      </c>
      <c r="E87" s="2" t="s">
        <v>637</v>
      </c>
      <c r="F87" s="4">
        <v>3</v>
      </c>
    </row>
    <row r="88" spans="1:7" ht="76.5">
      <c r="A88" s="1">
        <v>2</v>
      </c>
      <c r="B88" s="4" t="s">
        <v>940</v>
      </c>
      <c r="C88" s="3" t="s">
        <v>1088</v>
      </c>
      <c r="D88" s="17" t="s">
        <v>1262</v>
      </c>
      <c r="E88" s="2"/>
      <c r="F88" s="4">
        <v>1</v>
      </c>
    </row>
    <row r="89" spans="1:7">
      <c r="E89" s="2"/>
    </row>
    <row r="90" spans="1:7">
      <c r="E90" s="2"/>
    </row>
    <row r="91" spans="1:7">
      <c r="E91" s="2"/>
    </row>
    <row r="92" spans="1:7">
      <c r="E92" s="2"/>
    </row>
    <row r="93" spans="1:7">
      <c r="E93" s="2"/>
    </row>
    <row r="94" spans="1:7">
      <c r="E94" s="2"/>
    </row>
    <row r="95" spans="1:7">
      <c r="E95" s="2"/>
    </row>
    <row r="96" spans="1:7">
      <c r="E96" s="2"/>
    </row>
    <row r="97" spans="5:5">
      <c r="E97" s="2"/>
    </row>
    <row r="98" spans="5:5">
      <c r="E98" s="2"/>
    </row>
    <row r="99" spans="5:5">
      <c r="E99" s="2"/>
    </row>
    <row r="100" spans="5:5">
      <c r="E100" s="2"/>
    </row>
    <row r="101" spans="5:5">
      <c r="E101" s="2"/>
    </row>
    <row r="102" spans="5:5">
      <c r="E102" s="2"/>
    </row>
    <row r="103" spans="5:5">
      <c r="E103" s="2"/>
    </row>
    <row r="104" spans="5:5">
      <c r="E104" s="2"/>
    </row>
    <row r="105" spans="5:5">
      <c r="E105" s="2"/>
    </row>
    <row r="106" spans="5:5">
      <c r="E106" s="2"/>
    </row>
    <row r="107" spans="5:5">
      <c r="E107" s="2"/>
    </row>
    <row r="108" spans="5:5">
      <c r="E108" s="2"/>
    </row>
    <row r="109" spans="5:5">
      <c r="E109" s="2"/>
    </row>
    <row r="110" spans="5:5">
      <c r="E110" s="2"/>
    </row>
    <row r="111" spans="5:5">
      <c r="E111" s="2"/>
    </row>
    <row r="112" spans="5:5">
      <c r="E112" s="2"/>
    </row>
    <row r="113" spans="5:5">
      <c r="E113" s="2"/>
    </row>
    <row r="114" spans="5:5">
      <c r="E114" s="2"/>
    </row>
    <row r="115" spans="5:5">
      <c r="E115" s="2"/>
    </row>
    <row r="116" spans="5:5">
      <c r="E116" s="2"/>
    </row>
    <row r="117" spans="5:5">
      <c r="E117" s="2"/>
    </row>
    <row r="118" spans="5:5">
      <c r="E118" s="2"/>
    </row>
    <row r="119" spans="5:5">
      <c r="E119" s="2"/>
    </row>
    <row r="120" spans="5:5">
      <c r="E120" s="2"/>
    </row>
    <row r="121" spans="5:5">
      <c r="E121" s="2"/>
    </row>
    <row r="122" spans="5:5">
      <c r="E122" s="2"/>
    </row>
    <row r="123" spans="5:5">
      <c r="E123" s="2"/>
    </row>
    <row r="124" spans="5:5">
      <c r="E124" s="2"/>
    </row>
    <row r="125" spans="5:5">
      <c r="E125" s="2"/>
    </row>
    <row r="126" spans="5:5">
      <c r="E126" s="2"/>
    </row>
    <row r="127" spans="5:5">
      <c r="E127" s="2"/>
    </row>
    <row r="128" spans="5:5">
      <c r="E128" s="2"/>
    </row>
    <row r="129" spans="5:5">
      <c r="E129" s="2"/>
    </row>
    <row r="130" spans="5:5">
      <c r="E130" s="2"/>
    </row>
    <row r="131" spans="5:5">
      <c r="E131" s="2"/>
    </row>
    <row r="132" spans="5:5">
      <c r="E132" s="2"/>
    </row>
    <row r="133" spans="5:5">
      <c r="E133" s="2"/>
    </row>
    <row r="134" spans="5:5">
      <c r="E134" s="2"/>
    </row>
    <row r="135" spans="5:5">
      <c r="E135" s="2"/>
    </row>
    <row r="136" spans="5:5">
      <c r="E136" s="2"/>
    </row>
    <row r="137" spans="5:5">
      <c r="E137" s="2"/>
    </row>
    <row r="138" spans="5:5">
      <c r="E138" s="2"/>
    </row>
    <row r="139" spans="5:5">
      <c r="E139" s="2"/>
    </row>
    <row r="140" spans="5:5">
      <c r="E140" s="2"/>
    </row>
    <row r="141" spans="5:5">
      <c r="E141" s="2"/>
    </row>
    <row r="142" spans="5:5">
      <c r="E142" s="2"/>
    </row>
    <row r="143" spans="5:5">
      <c r="E143" s="2"/>
    </row>
    <row r="144" spans="5:5">
      <c r="E144" s="2"/>
    </row>
    <row r="145" spans="5:5">
      <c r="E145" s="2"/>
    </row>
    <row r="146" spans="5:5">
      <c r="E146" s="2"/>
    </row>
    <row r="147" spans="5:5">
      <c r="E147" s="2"/>
    </row>
    <row r="148" spans="5:5">
      <c r="E148" s="2"/>
    </row>
    <row r="149" spans="5:5">
      <c r="E149" s="2"/>
    </row>
    <row r="150" spans="5:5">
      <c r="E150" s="2"/>
    </row>
    <row r="151" spans="5:5">
      <c r="E151" s="2"/>
    </row>
    <row r="152" spans="5:5">
      <c r="E152" s="2"/>
    </row>
    <row r="153" spans="5:5">
      <c r="E153" s="2"/>
    </row>
    <row r="154" spans="5:5">
      <c r="E154" s="2"/>
    </row>
    <row r="155" spans="5:5">
      <c r="E155" s="2"/>
    </row>
    <row r="156" spans="5:5">
      <c r="E156" s="2"/>
    </row>
    <row r="157" spans="5:5">
      <c r="E157" s="2"/>
    </row>
    <row r="158" spans="5:5">
      <c r="E158" s="2"/>
    </row>
    <row r="159" spans="5:5">
      <c r="E159" s="2"/>
    </row>
    <row r="160" spans="5:5">
      <c r="E160" s="2"/>
    </row>
    <row r="161" spans="5:5">
      <c r="E161" s="2"/>
    </row>
    <row r="162" spans="5:5">
      <c r="E162" s="2"/>
    </row>
    <row r="163" spans="5:5">
      <c r="E163" s="2"/>
    </row>
    <row r="164" spans="5:5">
      <c r="E164" s="2"/>
    </row>
    <row r="165" spans="5:5">
      <c r="E165" s="2"/>
    </row>
    <row r="166" spans="5:5">
      <c r="E166" s="2"/>
    </row>
    <row r="167" spans="5:5">
      <c r="E167" s="2"/>
    </row>
    <row r="168" spans="5:5">
      <c r="E168" s="2"/>
    </row>
    <row r="169" spans="5:5">
      <c r="E169" s="2"/>
    </row>
    <row r="170" spans="5:5">
      <c r="E170" s="2"/>
    </row>
    <row r="171" spans="5:5">
      <c r="E171" s="2"/>
    </row>
    <row r="172" spans="5:5">
      <c r="E172" s="2"/>
    </row>
    <row r="173" spans="5:5">
      <c r="E173" s="2"/>
    </row>
    <row r="174" spans="5:5">
      <c r="E174" s="2"/>
    </row>
    <row r="175" spans="5:5">
      <c r="E175" s="2"/>
    </row>
    <row r="176" spans="5:5">
      <c r="E176" s="2"/>
    </row>
    <row r="177" spans="5:5">
      <c r="E177" s="2"/>
    </row>
    <row r="178" spans="5:5">
      <c r="E178" s="2"/>
    </row>
    <row r="179" spans="5:5">
      <c r="E179" s="2"/>
    </row>
    <row r="180" spans="5:5">
      <c r="E180" s="2"/>
    </row>
    <row r="181" spans="5:5">
      <c r="E181" s="2"/>
    </row>
    <row r="182" spans="5:5">
      <c r="E182" s="2"/>
    </row>
    <row r="183" spans="5:5">
      <c r="E183" s="2"/>
    </row>
    <row r="184" spans="5:5">
      <c r="E184" s="2"/>
    </row>
    <row r="185" spans="5:5">
      <c r="E185" s="2"/>
    </row>
    <row r="186" spans="5:5">
      <c r="E186" s="2"/>
    </row>
    <row r="187" spans="5:5">
      <c r="E187" s="2"/>
    </row>
    <row r="188" spans="5:5">
      <c r="E188" s="2"/>
    </row>
    <row r="189" spans="5:5">
      <c r="E189" s="2"/>
    </row>
    <row r="190" spans="5:5">
      <c r="E190" s="2"/>
    </row>
    <row r="191" spans="5:5">
      <c r="E191" s="2"/>
    </row>
    <row r="192" spans="5:5">
      <c r="E192" s="2"/>
    </row>
    <row r="193" spans="5:5">
      <c r="E193" s="2"/>
    </row>
    <row r="194" spans="5:5">
      <c r="E194" s="2"/>
    </row>
    <row r="195" spans="5:5">
      <c r="E195" s="2"/>
    </row>
    <row r="196" spans="5:5">
      <c r="E196" s="2"/>
    </row>
    <row r="197" spans="5:5">
      <c r="E197" s="2"/>
    </row>
    <row r="198" spans="5:5">
      <c r="E198" s="2"/>
    </row>
    <row r="199" spans="5:5">
      <c r="E199" s="2"/>
    </row>
    <row r="200" spans="5:5">
      <c r="E200" s="2"/>
    </row>
    <row r="201" spans="5:5">
      <c r="E201" s="2"/>
    </row>
    <row r="202" spans="5:5">
      <c r="E202" s="2"/>
    </row>
    <row r="203" spans="5:5">
      <c r="E203" s="2"/>
    </row>
    <row r="204" spans="5:5">
      <c r="E204" s="2"/>
    </row>
    <row r="205" spans="5:5">
      <c r="E205" s="2"/>
    </row>
    <row r="206" spans="5:5">
      <c r="E206" s="2"/>
    </row>
    <row r="207" spans="5:5">
      <c r="E207" s="2"/>
    </row>
    <row r="208" spans="5:5">
      <c r="E208" s="2"/>
    </row>
    <row r="209" spans="5:5">
      <c r="E209" s="2"/>
    </row>
    <row r="210" spans="5:5">
      <c r="E210" s="2"/>
    </row>
    <row r="211" spans="5:5">
      <c r="E211" s="2"/>
    </row>
    <row r="212" spans="5:5">
      <c r="E212" s="2"/>
    </row>
    <row r="213" spans="5:5">
      <c r="E213" s="2"/>
    </row>
    <row r="214" spans="5:5">
      <c r="E214" s="2"/>
    </row>
    <row r="215" spans="5:5">
      <c r="E215" s="2"/>
    </row>
    <row r="216" spans="5:5">
      <c r="E216" s="2"/>
    </row>
    <row r="217" spans="5:5">
      <c r="E217" s="2"/>
    </row>
    <row r="218" spans="5:5">
      <c r="E218" s="2"/>
    </row>
    <row r="219" spans="5:5">
      <c r="E219" s="2"/>
    </row>
    <row r="220" spans="5:5">
      <c r="E220" s="2"/>
    </row>
    <row r="221" spans="5:5">
      <c r="E221" s="2"/>
    </row>
    <row r="222" spans="5:5">
      <c r="E222" s="2"/>
    </row>
    <row r="223" spans="5:5">
      <c r="E223" s="2"/>
    </row>
    <row r="224" spans="5:5">
      <c r="E224" s="2"/>
    </row>
    <row r="225" spans="5:5">
      <c r="E225" s="2"/>
    </row>
    <row r="226" spans="5:5">
      <c r="E226" s="2"/>
    </row>
    <row r="227" spans="5:5">
      <c r="E227" s="2"/>
    </row>
    <row r="228" spans="5:5">
      <c r="E228" s="2"/>
    </row>
    <row r="229" spans="5:5">
      <c r="E229" s="2"/>
    </row>
    <row r="230" spans="5:5">
      <c r="E230" s="2"/>
    </row>
    <row r="231" spans="5:5">
      <c r="E231" s="2"/>
    </row>
    <row r="232" spans="5:5">
      <c r="E232" s="2"/>
    </row>
    <row r="233" spans="5:5">
      <c r="E233" s="2"/>
    </row>
    <row r="234" spans="5:5">
      <c r="E234" s="2"/>
    </row>
    <row r="235" spans="5:5">
      <c r="E235" s="2"/>
    </row>
    <row r="236" spans="5:5">
      <c r="E236" s="2"/>
    </row>
    <row r="237" spans="5:5">
      <c r="E237" s="2"/>
    </row>
    <row r="238" spans="5:5">
      <c r="E238" s="2"/>
    </row>
    <row r="239" spans="5:5">
      <c r="E239" s="2"/>
    </row>
    <row r="240" spans="5:5">
      <c r="E240" s="2"/>
    </row>
    <row r="241" spans="5:5">
      <c r="E241" s="2"/>
    </row>
    <row r="242" spans="5:5">
      <c r="E242" s="2"/>
    </row>
    <row r="243" spans="5:5">
      <c r="E243" s="2"/>
    </row>
    <row r="244" spans="5:5">
      <c r="E244" s="2"/>
    </row>
    <row r="245" spans="5:5">
      <c r="E245" s="2"/>
    </row>
    <row r="246" spans="5:5">
      <c r="E246" s="2"/>
    </row>
    <row r="247" spans="5:5">
      <c r="E247" s="2"/>
    </row>
    <row r="248" spans="5:5">
      <c r="E248" s="2"/>
    </row>
    <row r="249" spans="5:5">
      <c r="E249" s="2"/>
    </row>
    <row r="250" spans="5:5">
      <c r="E250" s="2"/>
    </row>
    <row r="251" spans="5:5">
      <c r="E251" s="2"/>
    </row>
    <row r="252" spans="5:5">
      <c r="E252" s="2"/>
    </row>
    <row r="253" spans="5:5">
      <c r="E253" s="2"/>
    </row>
    <row r="254" spans="5:5">
      <c r="E254" s="2"/>
    </row>
    <row r="255" spans="5:5">
      <c r="E255" s="2"/>
    </row>
    <row r="256" spans="5:5">
      <c r="E256" s="2"/>
    </row>
    <row r="257" spans="5:5">
      <c r="E257" s="2"/>
    </row>
    <row r="258" spans="5:5">
      <c r="E258" s="2"/>
    </row>
    <row r="259" spans="5:5">
      <c r="E259" s="2"/>
    </row>
    <row r="260" spans="5:5">
      <c r="E260" s="2"/>
    </row>
    <row r="261" spans="5:5">
      <c r="E261" s="2"/>
    </row>
    <row r="262" spans="5:5">
      <c r="E262" s="2"/>
    </row>
    <row r="263" spans="5:5">
      <c r="E263" s="2"/>
    </row>
    <row r="264" spans="5:5">
      <c r="E264" s="2"/>
    </row>
    <row r="265" spans="5:5">
      <c r="E265" s="2"/>
    </row>
    <row r="266" spans="5:5">
      <c r="E266" s="2"/>
    </row>
    <row r="267" spans="5:5">
      <c r="E267" s="2"/>
    </row>
    <row r="268" spans="5:5">
      <c r="E268" s="2"/>
    </row>
    <row r="269" spans="5:5">
      <c r="E269" s="2"/>
    </row>
    <row r="270" spans="5:5">
      <c r="E270" s="2"/>
    </row>
    <row r="271" spans="5:5">
      <c r="E271" s="2"/>
    </row>
    <row r="272" spans="5:5">
      <c r="E272" s="2"/>
    </row>
    <row r="273" spans="5:5">
      <c r="E273" s="2"/>
    </row>
    <row r="274" spans="5:5">
      <c r="E274" s="2"/>
    </row>
    <row r="275" spans="5:5">
      <c r="E275" s="2"/>
    </row>
    <row r="276" spans="5:5">
      <c r="E276" s="2"/>
    </row>
    <row r="277" spans="5:5">
      <c r="E277" s="2"/>
    </row>
    <row r="278" spans="5:5">
      <c r="E278" s="2"/>
    </row>
    <row r="279" spans="5:5">
      <c r="E279" s="2"/>
    </row>
    <row r="280" spans="5:5">
      <c r="E280" s="2"/>
    </row>
    <row r="281" spans="5:5">
      <c r="E281" s="2"/>
    </row>
    <row r="282" spans="5:5">
      <c r="E282" s="2"/>
    </row>
    <row r="283" spans="5:5">
      <c r="E283" s="2"/>
    </row>
    <row r="284" spans="5:5">
      <c r="E284" s="2"/>
    </row>
    <row r="285" spans="5:5">
      <c r="E285" s="2"/>
    </row>
    <row r="286" spans="5:5">
      <c r="E286" s="2"/>
    </row>
    <row r="287" spans="5:5">
      <c r="E287" s="2"/>
    </row>
    <row r="288" spans="5:5">
      <c r="E288" s="2"/>
    </row>
    <row r="289" spans="5:5">
      <c r="E289" s="2"/>
    </row>
    <row r="290" spans="5:5">
      <c r="E290" s="2"/>
    </row>
    <row r="291" spans="5:5">
      <c r="E291" s="2"/>
    </row>
    <row r="292" spans="5:5">
      <c r="E292" s="2"/>
    </row>
    <row r="293" spans="5:5">
      <c r="E293" s="2"/>
    </row>
    <row r="294" spans="5:5">
      <c r="E294" s="2"/>
    </row>
    <row r="295" spans="5:5">
      <c r="E295" s="2"/>
    </row>
    <row r="296" spans="5:5">
      <c r="E296" s="2"/>
    </row>
    <row r="297" spans="5:5">
      <c r="E297" s="2"/>
    </row>
    <row r="298" spans="5:5">
      <c r="E298" s="2"/>
    </row>
    <row r="299" spans="5:5">
      <c r="E299" s="2"/>
    </row>
    <row r="300" spans="5:5">
      <c r="E300" s="2"/>
    </row>
    <row r="301" spans="5:5">
      <c r="E301" s="2"/>
    </row>
    <row r="302" spans="5:5">
      <c r="E302" s="2"/>
    </row>
    <row r="303" spans="5:5">
      <c r="E303" s="2"/>
    </row>
    <row r="304" spans="5:5">
      <c r="E304" s="2"/>
    </row>
    <row r="305" spans="5:5">
      <c r="E305" s="2"/>
    </row>
    <row r="306" spans="5:5">
      <c r="E306" s="2"/>
    </row>
    <row r="307" spans="5:5">
      <c r="E307" s="2"/>
    </row>
    <row r="308" spans="5:5">
      <c r="E308" s="2"/>
    </row>
    <row r="309" spans="5:5">
      <c r="E309" s="2"/>
    </row>
    <row r="310" spans="5:5">
      <c r="E310" s="2"/>
    </row>
    <row r="311" spans="5:5">
      <c r="E311" s="2"/>
    </row>
    <row r="312" spans="5:5">
      <c r="E312" s="2"/>
    </row>
    <row r="313" spans="5:5">
      <c r="E313" s="2"/>
    </row>
    <row r="314" spans="5:5">
      <c r="E314" s="2"/>
    </row>
    <row r="315" spans="5:5">
      <c r="E315" s="2"/>
    </row>
    <row r="316" spans="5:5">
      <c r="E316" s="2"/>
    </row>
    <row r="317" spans="5:5">
      <c r="E317" s="2"/>
    </row>
    <row r="318" spans="5:5">
      <c r="E318" s="2"/>
    </row>
    <row r="319" spans="5:5">
      <c r="E319" s="2"/>
    </row>
    <row r="320" spans="5:5">
      <c r="E320" s="2"/>
    </row>
    <row r="321" spans="5:5">
      <c r="E321" s="2"/>
    </row>
    <row r="322" spans="5:5">
      <c r="E322" s="2"/>
    </row>
    <row r="323" spans="5:5">
      <c r="E323" s="2"/>
    </row>
    <row r="324" spans="5:5">
      <c r="E324" s="2"/>
    </row>
    <row r="325" spans="5:5">
      <c r="E325" s="2"/>
    </row>
    <row r="326" spans="5:5">
      <c r="E326" s="2"/>
    </row>
    <row r="327" spans="5:5">
      <c r="E327" s="2"/>
    </row>
    <row r="328" spans="5:5">
      <c r="E328" s="2"/>
    </row>
    <row r="329" spans="5:5">
      <c r="E329" s="2"/>
    </row>
    <row r="330" spans="5:5">
      <c r="E330" s="2"/>
    </row>
    <row r="331" spans="5:5">
      <c r="E331" s="2"/>
    </row>
    <row r="332" spans="5:5">
      <c r="E332" s="2"/>
    </row>
    <row r="333" spans="5:5">
      <c r="E333" s="2"/>
    </row>
    <row r="334" spans="5:5">
      <c r="E334" s="2"/>
    </row>
    <row r="335" spans="5:5">
      <c r="E335" s="2"/>
    </row>
    <row r="336" spans="5:5">
      <c r="E336" s="2"/>
    </row>
    <row r="337" spans="5:5">
      <c r="E337" s="2"/>
    </row>
    <row r="338" spans="5:5">
      <c r="E338" s="2"/>
    </row>
    <row r="339" spans="5:5">
      <c r="E339" s="2"/>
    </row>
    <row r="340" spans="5:5">
      <c r="E340" s="2"/>
    </row>
    <row r="341" spans="5:5">
      <c r="E341" s="2"/>
    </row>
    <row r="342" spans="5:5">
      <c r="E342" s="2"/>
    </row>
    <row r="343" spans="5:5">
      <c r="E343" s="2"/>
    </row>
    <row r="344" spans="5:5">
      <c r="E344" s="2"/>
    </row>
    <row r="345" spans="5:5">
      <c r="E345" s="2"/>
    </row>
    <row r="346" spans="5:5">
      <c r="E346" s="2"/>
    </row>
    <row r="347" spans="5:5">
      <c r="E347" s="2"/>
    </row>
    <row r="348" spans="5:5">
      <c r="E348" s="2"/>
    </row>
    <row r="349" spans="5:5">
      <c r="E349" s="2"/>
    </row>
    <row r="350" spans="5:5">
      <c r="E350" s="2"/>
    </row>
    <row r="351" spans="5:5">
      <c r="E351" s="2"/>
    </row>
    <row r="352" spans="5:5">
      <c r="E352" s="2"/>
    </row>
    <row r="353" spans="5:5">
      <c r="E353" s="2"/>
    </row>
    <row r="354" spans="5:5">
      <c r="E354" s="2"/>
    </row>
    <row r="355" spans="5:5">
      <c r="E355" s="2"/>
    </row>
    <row r="356" spans="5:5">
      <c r="E356" s="2"/>
    </row>
    <row r="357" spans="5:5">
      <c r="E357" s="2"/>
    </row>
    <row r="358" spans="5:5">
      <c r="E358" s="2"/>
    </row>
    <row r="359" spans="5:5">
      <c r="E359" s="2"/>
    </row>
    <row r="360" spans="5:5">
      <c r="E360" s="2"/>
    </row>
    <row r="361" spans="5:5">
      <c r="E361" s="2"/>
    </row>
    <row r="362" spans="5:5">
      <c r="E362" s="2"/>
    </row>
    <row r="363" spans="5:5">
      <c r="E363" s="2"/>
    </row>
    <row r="364" spans="5:5">
      <c r="E364" s="2"/>
    </row>
    <row r="365" spans="5:5">
      <c r="E365" s="2"/>
    </row>
    <row r="366" spans="5:5">
      <c r="E366" s="2"/>
    </row>
    <row r="367" spans="5:5">
      <c r="E367" s="2"/>
    </row>
    <row r="368" spans="5:5">
      <c r="E368" s="2"/>
    </row>
    <row r="369" spans="5:5">
      <c r="E369" s="2"/>
    </row>
    <row r="370" spans="5:5">
      <c r="E370" s="2"/>
    </row>
    <row r="371" spans="5:5">
      <c r="E371" s="2"/>
    </row>
    <row r="372" spans="5:5">
      <c r="E372" s="2"/>
    </row>
    <row r="373" spans="5:5">
      <c r="E373" s="2"/>
    </row>
    <row r="374" spans="5:5">
      <c r="E374" s="2"/>
    </row>
    <row r="375" spans="5:5">
      <c r="E375" s="2"/>
    </row>
    <row r="376" spans="5:5">
      <c r="E376" s="2"/>
    </row>
    <row r="377" spans="5:5">
      <c r="E377" s="2"/>
    </row>
    <row r="378" spans="5:5">
      <c r="E378" s="2"/>
    </row>
    <row r="379" spans="5:5">
      <c r="E379" s="2"/>
    </row>
    <row r="380" spans="5:5">
      <c r="E380" s="2"/>
    </row>
    <row r="381" spans="5:5">
      <c r="E381" s="2"/>
    </row>
    <row r="382" spans="5:5">
      <c r="E382" s="2"/>
    </row>
    <row r="383" spans="5:5">
      <c r="E383" s="2"/>
    </row>
    <row r="384" spans="5:5">
      <c r="E384" s="2"/>
    </row>
    <row r="385" spans="5:5">
      <c r="E385" s="2"/>
    </row>
    <row r="386" spans="5:5">
      <c r="E386" s="2"/>
    </row>
    <row r="387" spans="5:5">
      <c r="E387" s="2"/>
    </row>
    <row r="388" spans="5:5">
      <c r="E388" s="2"/>
    </row>
    <row r="389" spans="5:5">
      <c r="E389" s="2"/>
    </row>
    <row r="390" spans="5:5">
      <c r="E390" s="2"/>
    </row>
    <row r="391" spans="5:5">
      <c r="E391" s="2"/>
    </row>
    <row r="392" spans="5:5">
      <c r="E392" s="2"/>
    </row>
    <row r="393" spans="5:5">
      <c r="E393" s="2"/>
    </row>
    <row r="394" spans="5:5">
      <c r="E394" s="2"/>
    </row>
    <row r="395" spans="5:5">
      <c r="E395" s="2"/>
    </row>
    <row r="396" spans="5:5">
      <c r="E396" s="2"/>
    </row>
    <row r="397" spans="5:5">
      <c r="E397" s="2"/>
    </row>
    <row r="398" spans="5:5">
      <c r="E398" s="2"/>
    </row>
    <row r="399" spans="5:5">
      <c r="E399" s="2"/>
    </row>
    <row r="400" spans="5:5">
      <c r="E400" s="2"/>
    </row>
    <row r="401" spans="5:5">
      <c r="E401" s="2"/>
    </row>
    <row r="402" spans="5:5">
      <c r="E402" s="2"/>
    </row>
    <row r="403" spans="5:5">
      <c r="E403" s="2"/>
    </row>
    <row r="404" spans="5:5">
      <c r="E404" s="2"/>
    </row>
    <row r="405" spans="5:5">
      <c r="E405" s="2"/>
    </row>
    <row r="406" spans="5:5">
      <c r="E406" s="2"/>
    </row>
    <row r="407" spans="5:5">
      <c r="E407" s="2"/>
    </row>
    <row r="408" spans="5:5">
      <c r="E408" s="2"/>
    </row>
    <row r="409" spans="5:5">
      <c r="E409" s="2"/>
    </row>
  </sheetData>
  <mergeCells count="2">
    <mergeCell ref="A1:G1"/>
    <mergeCell ref="A2:G2"/>
  </mergeCells>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worksheet>
</file>

<file path=xl/worksheets/sheet3.xml><?xml version="1.0" encoding="utf-8"?>
<worksheet xmlns="http://schemas.openxmlformats.org/spreadsheetml/2006/main" xmlns:r="http://schemas.openxmlformats.org/officeDocument/2006/relationships">
  <sheetPr codeName="Sheet14" enableFormatConditionsCalculation="0">
    <tabColor indexed="53"/>
  </sheetPr>
  <dimension ref="A1:G458"/>
  <sheetViews>
    <sheetView tabSelected="1" zoomScaleNormal="100" zoomScaleSheetLayoutView="100" workbookViewId="0">
      <selection activeCell="C4" sqref="C4"/>
    </sheetView>
  </sheetViews>
  <sheetFormatPr defaultRowHeight="12.75"/>
  <cols>
    <col min="1" max="1" width="8.42578125" style="1" customWidth="1"/>
    <col min="2" max="2" width="8" style="4" bestFit="1" customWidth="1"/>
    <col min="3" max="4" width="48.7109375" style="2" customWidth="1"/>
    <col min="5" max="5" width="51" style="1" customWidth="1"/>
    <col min="6" max="6" width="6.42578125" style="4" bestFit="1" customWidth="1"/>
    <col min="7" max="7" width="11" style="2" customWidth="1"/>
    <col min="8" max="16384" width="9.140625" style="8"/>
  </cols>
  <sheetData>
    <row r="1" spans="1:7" ht="18.75">
      <c r="A1" s="33" t="s">
        <v>1089</v>
      </c>
      <c r="B1" s="33"/>
      <c r="C1" s="33"/>
      <c r="D1" s="33"/>
      <c r="E1" s="33"/>
      <c r="F1" s="33"/>
      <c r="G1" s="33"/>
    </row>
    <row r="2" spans="1:7" ht="18.75">
      <c r="A2" s="33" t="s">
        <v>1047</v>
      </c>
      <c r="B2" s="33"/>
      <c r="C2" s="33"/>
      <c r="D2" s="33"/>
      <c r="E2" s="33"/>
      <c r="F2" s="33"/>
      <c r="G2" s="33"/>
    </row>
    <row r="3" spans="1:7" s="11" customFormat="1" ht="38.25">
      <c r="A3" s="9" t="s">
        <v>1305</v>
      </c>
      <c r="B3" s="9" t="s">
        <v>1039</v>
      </c>
      <c r="C3" s="9" t="s">
        <v>1041</v>
      </c>
      <c r="D3" s="9" t="s">
        <v>1044</v>
      </c>
      <c r="E3" s="10" t="s">
        <v>941</v>
      </c>
      <c r="F3" s="19" t="s">
        <v>833</v>
      </c>
      <c r="G3" s="9" t="s">
        <v>1040</v>
      </c>
    </row>
    <row r="4" spans="1:7" ht="140.25">
      <c r="A4" s="1">
        <v>1</v>
      </c>
      <c r="B4" s="4" t="s">
        <v>1048</v>
      </c>
      <c r="C4" s="3" t="s">
        <v>781</v>
      </c>
      <c r="D4" s="17" t="s">
        <v>1270</v>
      </c>
      <c r="E4" s="2" t="s">
        <v>641</v>
      </c>
      <c r="F4" s="4">
        <v>3</v>
      </c>
      <c r="G4" s="2" t="s">
        <v>173</v>
      </c>
    </row>
    <row r="5" spans="1:7" ht="25.5">
      <c r="A5" s="1">
        <v>1</v>
      </c>
      <c r="B5" s="4" t="s">
        <v>1048</v>
      </c>
      <c r="D5" s="17" t="s">
        <v>1271</v>
      </c>
      <c r="E5" s="2" t="s">
        <v>642</v>
      </c>
      <c r="F5" s="4">
        <v>3</v>
      </c>
    </row>
    <row r="6" spans="1:7" ht="25.5">
      <c r="A6" s="1">
        <v>1</v>
      </c>
      <c r="B6" s="4" t="s">
        <v>1048</v>
      </c>
      <c r="D6" s="17" t="s">
        <v>1272</v>
      </c>
      <c r="E6" s="2"/>
      <c r="F6" s="4">
        <v>2</v>
      </c>
    </row>
    <row r="7" spans="1:7" ht="25.5">
      <c r="A7" s="1">
        <v>1</v>
      </c>
      <c r="B7" s="4" t="s">
        <v>1048</v>
      </c>
      <c r="D7" s="17" t="s">
        <v>1273</v>
      </c>
      <c r="E7" s="2"/>
      <c r="F7" s="4">
        <v>3</v>
      </c>
    </row>
    <row r="8" spans="1:7" ht="38.25">
      <c r="A8" s="1">
        <v>1</v>
      </c>
      <c r="B8" s="4" t="s">
        <v>1048</v>
      </c>
      <c r="D8" s="2" t="s">
        <v>418</v>
      </c>
      <c r="E8" s="2"/>
      <c r="F8" s="4">
        <v>1</v>
      </c>
    </row>
    <row r="9" spans="1:7">
      <c r="A9" s="1">
        <v>1</v>
      </c>
      <c r="B9" s="4" t="s">
        <v>1048</v>
      </c>
      <c r="D9" s="2" t="s">
        <v>1274</v>
      </c>
      <c r="E9" s="2"/>
      <c r="F9" s="4">
        <v>1</v>
      </c>
    </row>
    <row r="10" spans="1:7" ht="38.25">
      <c r="A10" s="1">
        <v>1</v>
      </c>
      <c r="B10" s="4" t="s">
        <v>1048</v>
      </c>
      <c r="D10" s="2" t="s">
        <v>1275</v>
      </c>
      <c r="E10" s="2"/>
      <c r="F10" s="4">
        <v>0</v>
      </c>
    </row>
    <row r="11" spans="1:7" ht="25.5">
      <c r="A11" s="1">
        <v>1</v>
      </c>
      <c r="B11" s="4" t="s">
        <v>1048</v>
      </c>
      <c r="D11" s="2" t="s">
        <v>1276</v>
      </c>
      <c r="E11" s="2"/>
      <c r="F11" s="4">
        <v>3</v>
      </c>
    </row>
    <row r="12" spans="1:7" ht="25.5">
      <c r="A12" s="1">
        <v>1</v>
      </c>
      <c r="B12" s="4" t="s">
        <v>1048</v>
      </c>
      <c r="D12" s="2" t="s">
        <v>1277</v>
      </c>
      <c r="E12" s="2"/>
      <c r="F12" s="4">
        <v>3</v>
      </c>
    </row>
    <row r="13" spans="1:7" ht="63.75">
      <c r="A13" s="1">
        <v>1</v>
      </c>
      <c r="B13" s="4" t="s">
        <v>1048</v>
      </c>
      <c r="C13" s="3" t="s">
        <v>782</v>
      </c>
      <c r="D13" s="17" t="s">
        <v>1278</v>
      </c>
      <c r="E13" s="2" t="s">
        <v>639</v>
      </c>
      <c r="F13" s="4">
        <v>3</v>
      </c>
      <c r="G13" s="2" t="s">
        <v>174</v>
      </c>
    </row>
    <row r="14" spans="1:7">
      <c r="A14" s="1">
        <v>1</v>
      </c>
      <c r="B14" s="4" t="s">
        <v>1048</v>
      </c>
      <c r="C14" s="3"/>
      <c r="E14" s="2" t="s">
        <v>640</v>
      </c>
    </row>
    <row r="15" spans="1:7" ht="51">
      <c r="A15" s="1">
        <v>2</v>
      </c>
      <c r="B15" s="4" t="s">
        <v>1048</v>
      </c>
      <c r="C15" s="2" t="s">
        <v>783</v>
      </c>
      <c r="D15" s="17" t="s">
        <v>372</v>
      </c>
      <c r="E15" s="2" t="s">
        <v>643</v>
      </c>
      <c r="F15" s="4">
        <v>3</v>
      </c>
      <c r="G15" s="2" t="s">
        <v>175</v>
      </c>
    </row>
    <row r="16" spans="1:7" ht="38.25">
      <c r="A16" s="1">
        <v>2</v>
      </c>
      <c r="B16" s="4" t="s">
        <v>1048</v>
      </c>
      <c r="D16" s="17" t="s">
        <v>377</v>
      </c>
      <c r="E16" s="2" t="s">
        <v>644</v>
      </c>
      <c r="F16" s="4">
        <v>2</v>
      </c>
    </row>
    <row r="17" spans="1:7" ht="25.5">
      <c r="A17" s="1">
        <v>2</v>
      </c>
      <c r="B17" s="4" t="s">
        <v>1048</v>
      </c>
      <c r="D17" s="2" t="s">
        <v>373</v>
      </c>
      <c r="E17" s="2"/>
      <c r="F17" s="4">
        <v>1</v>
      </c>
    </row>
    <row r="18" spans="1:7" ht="25.5">
      <c r="A18" s="1">
        <v>2</v>
      </c>
      <c r="B18" s="4" t="s">
        <v>1048</v>
      </c>
      <c r="D18" s="2" t="s">
        <v>374</v>
      </c>
      <c r="E18" s="2"/>
      <c r="F18" s="4">
        <v>0</v>
      </c>
    </row>
    <row r="19" spans="1:7" ht="51">
      <c r="A19" s="1">
        <v>5</v>
      </c>
      <c r="B19" s="4" t="s">
        <v>1048</v>
      </c>
      <c r="C19" s="2" t="s">
        <v>784</v>
      </c>
      <c r="D19" s="17" t="s">
        <v>375</v>
      </c>
      <c r="E19" s="2" t="s">
        <v>645</v>
      </c>
      <c r="F19" s="4">
        <v>2</v>
      </c>
      <c r="G19" s="2" t="s">
        <v>176</v>
      </c>
    </row>
    <row r="20" spans="1:7">
      <c r="A20" s="1">
        <v>5</v>
      </c>
      <c r="B20" s="4" t="s">
        <v>1048</v>
      </c>
      <c r="D20" s="17" t="s">
        <v>376</v>
      </c>
      <c r="E20" s="2" t="s">
        <v>646</v>
      </c>
      <c r="F20" s="4">
        <v>1</v>
      </c>
    </row>
    <row r="21" spans="1:7" ht="38.25">
      <c r="A21" s="1">
        <v>5</v>
      </c>
      <c r="B21" s="4" t="s">
        <v>1048</v>
      </c>
      <c r="C21" s="3"/>
      <c r="D21" s="17" t="s">
        <v>377</v>
      </c>
      <c r="E21" s="2" t="s">
        <v>647</v>
      </c>
      <c r="F21" s="4">
        <v>2</v>
      </c>
    </row>
    <row r="22" spans="1:7" ht="25.5">
      <c r="A22" s="1">
        <v>5</v>
      </c>
      <c r="B22" s="4" t="s">
        <v>1048</v>
      </c>
      <c r="C22" s="3"/>
      <c r="D22" s="2" t="s">
        <v>373</v>
      </c>
      <c r="E22" s="2"/>
      <c r="F22" s="4">
        <v>1</v>
      </c>
    </row>
    <row r="23" spans="1:7" ht="25.5">
      <c r="A23" s="1">
        <v>5</v>
      </c>
      <c r="B23" s="4" t="s">
        <v>1048</v>
      </c>
      <c r="C23" s="3"/>
      <c r="D23" s="2" t="s">
        <v>374</v>
      </c>
      <c r="E23" s="2"/>
      <c r="F23" s="4">
        <v>0</v>
      </c>
    </row>
    <row r="24" spans="1:7" ht="25.5">
      <c r="B24" s="4" t="s">
        <v>937</v>
      </c>
      <c r="C24" s="3" t="s">
        <v>387</v>
      </c>
      <c r="D24" s="2" t="s">
        <v>388</v>
      </c>
      <c r="E24" s="2"/>
      <c r="F24" s="4">
        <v>3</v>
      </c>
    </row>
    <row r="25" spans="1:7" ht="25.5">
      <c r="B25" s="4" t="s">
        <v>937</v>
      </c>
      <c r="C25" s="3" t="s">
        <v>387</v>
      </c>
      <c r="D25" s="2" t="s">
        <v>389</v>
      </c>
      <c r="E25" s="2"/>
      <c r="F25" s="4">
        <v>3</v>
      </c>
    </row>
    <row r="26" spans="1:7" ht="25.5">
      <c r="B26" s="4" t="s">
        <v>937</v>
      </c>
      <c r="C26" s="3" t="s">
        <v>387</v>
      </c>
      <c r="D26" s="2" t="s">
        <v>390</v>
      </c>
      <c r="E26" s="2"/>
      <c r="F26" s="4">
        <v>3</v>
      </c>
    </row>
    <row r="27" spans="1:7" ht="114.75">
      <c r="A27" s="1">
        <v>5</v>
      </c>
      <c r="B27" s="4" t="s">
        <v>937</v>
      </c>
      <c r="C27" s="3" t="s">
        <v>785</v>
      </c>
      <c r="D27" s="17" t="s">
        <v>378</v>
      </c>
      <c r="E27" s="2" t="s">
        <v>648</v>
      </c>
      <c r="F27" s="4">
        <v>3</v>
      </c>
      <c r="G27" s="2" t="s">
        <v>177</v>
      </c>
    </row>
    <row r="28" spans="1:7">
      <c r="A28" s="1">
        <v>5</v>
      </c>
      <c r="B28" s="4" t="s">
        <v>937</v>
      </c>
      <c r="E28" s="2" t="s">
        <v>649</v>
      </c>
    </row>
    <row r="29" spans="1:7" ht="25.5">
      <c r="A29" s="1">
        <v>5</v>
      </c>
      <c r="B29" s="4" t="s">
        <v>937</v>
      </c>
      <c r="E29" s="2" t="s">
        <v>391</v>
      </c>
    </row>
    <row r="30" spans="1:7" ht="63.75">
      <c r="A30" s="1">
        <v>5</v>
      </c>
      <c r="B30" s="4" t="s">
        <v>937</v>
      </c>
      <c r="C30" s="2" t="s">
        <v>786</v>
      </c>
      <c r="D30" s="17" t="s">
        <v>419</v>
      </c>
      <c r="E30" s="2" t="s">
        <v>650</v>
      </c>
      <c r="F30" s="4">
        <v>3</v>
      </c>
      <c r="G30" s="2" t="s">
        <v>178</v>
      </c>
    </row>
    <row r="31" spans="1:7" ht="25.5">
      <c r="A31" s="1">
        <v>5</v>
      </c>
      <c r="B31" s="4" t="s">
        <v>937</v>
      </c>
      <c r="C31" s="3"/>
      <c r="D31" s="17" t="s">
        <v>379</v>
      </c>
      <c r="E31" s="2" t="s">
        <v>651</v>
      </c>
      <c r="F31" s="4">
        <v>2</v>
      </c>
    </row>
    <row r="32" spans="1:7">
      <c r="A32" s="1">
        <v>5</v>
      </c>
      <c r="B32" s="4" t="s">
        <v>937</v>
      </c>
      <c r="E32" s="2" t="s">
        <v>652</v>
      </c>
    </row>
    <row r="33" spans="1:7" ht="25.5">
      <c r="A33" s="1">
        <v>5</v>
      </c>
      <c r="B33" s="4" t="s">
        <v>937</v>
      </c>
      <c r="C33" s="2" t="s">
        <v>787</v>
      </c>
      <c r="D33" s="17" t="s">
        <v>380</v>
      </c>
      <c r="E33" s="1" t="s">
        <v>653</v>
      </c>
      <c r="F33" s="4">
        <v>3</v>
      </c>
      <c r="G33" s="2" t="s">
        <v>179</v>
      </c>
    </row>
    <row r="34" spans="1:7">
      <c r="A34" s="1">
        <v>5</v>
      </c>
      <c r="B34" s="4" t="s">
        <v>937</v>
      </c>
      <c r="E34" s="1" t="s">
        <v>654</v>
      </c>
    </row>
    <row r="35" spans="1:7">
      <c r="A35" s="1">
        <v>5</v>
      </c>
      <c r="B35" s="4" t="s">
        <v>937</v>
      </c>
      <c r="E35" s="1" t="s">
        <v>655</v>
      </c>
    </row>
    <row r="36" spans="1:7">
      <c r="A36" s="1">
        <v>5</v>
      </c>
      <c r="B36" s="4" t="s">
        <v>937</v>
      </c>
      <c r="E36" s="2" t="s">
        <v>656</v>
      </c>
    </row>
    <row r="37" spans="1:7" ht="51">
      <c r="A37" s="1">
        <v>2</v>
      </c>
      <c r="B37" s="4" t="s">
        <v>937</v>
      </c>
      <c r="C37" s="3" t="s">
        <v>788</v>
      </c>
      <c r="D37" s="17" t="s">
        <v>381</v>
      </c>
      <c r="E37" s="1" t="s">
        <v>657</v>
      </c>
      <c r="F37" s="4">
        <v>3</v>
      </c>
      <c r="G37" s="2" t="s">
        <v>180</v>
      </c>
    </row>
    <row r="38" spans="1:7" ht="102">
      <c r="A38" s="1">
        <v>3</v>
      </c>
      <c r="B38" s="4" t="s">
        <v>937</v>
      </c>
      <c r="C38" s="3" t="s">
        <v>789</v>
      </c>
      <c r="D38" s="17" t="s">
        <v>382</v>
      </c>
      <c r="E38" s="2" t="s">
        <v>658</v>
      </c>
      <c r="F38" s="4">
        <v>3</v>
      </c>
      <c r="G38" s="2" t="s">
        <v>181</v>
      </c>
    </row>
    <row r="39" spans="1:7">
      <c r="A39" s="1">
        <v>3</v>
      </c>
      <c r="B39" s="4" t="s">
        <v>937</v>
      </c>
      <c r="E39" s="2" t="s">
        <v>659</v>
      </c>
    </row>
    <row r="40" spans="1:7" ht="25.5">
      <c r="A40" s="1">
        <v>3</v>
      </c>
      <c r="B40" s="4" t="s">
        <v>937</v>
      </c>
      <c r="E40" s="2" t="s">
        <v>660</v>
      </c>
    </row>
    <row r="41" spans="1:7" ht="38.25">
      <c r="A41" s="1">
        <v>3</v>
      </c>
      <c r="B41" s="4" t="s">
        <v>937</v>
      </c>
      <c r="C41" s="2" t="s">
        <v>790</v>
      </c>
      <c r="D41" s="17" t="s">
        <v>383</v>
      </c>
      <c r="E41" s="2" t="s">
        <v>661</v>
      </c>
      <c r="F41" s="4">
        <v>3</v>
      </c>
      <c r="G41" s="2" t="s">
        <v>182</v>
      </c>
    </row>
    <row r="42" spans="1:7" ht="191.25">
      <c r="A42" s="1">
        <v>3</v>
      </c>
      <c r="B42" s="4" t="s">
        <v>937</v>
      </c>
      <c r="C42" s="3" t="s">
        <v>895</v>
      </c>
      <c r="D42" s="17" t="s">
        <v>420</v>
      </c>
      <c r="E42" s="2" t="s">
        <v>662</v>
      </c>
      <c r="F42" s="4">
        <v>3</v>
      </c>
      <c r="G42" s="2" t="s">
        <v>183</v>
      </c>
    </row>
    <row r="43" spans="1:7" ht="25.5">
      <c r="A43" s="1">
        <v>3</v>
      </c>
      <c r="B43" s="4" t="s">
        <v>937</v>
      </c>
      <c r="D43" s="17" t="s">
        <v>384</v>
      </c>
      <c r="E43" s="2" t="s">
        <v>663</v>
      </c>
      <c r="F43" s="4">
        <v>2</v>
      </c>
    </row>
    <row r="44" spans="1:7" ht="38.25">
      <c r="A44" s="1">
        <v>3</v>
      </c>
      <c r="B44" s="4" t="s">
        <v>937</v>
      </c>
      <c r="D44" s="17" t="s">
        <v>385</v>
      </c>
      <c r="E44" s="2" t="s">
        <v>664</v>
      </c>
      <c r="F44" s="4">
        <v>3</v>
      </c>
    </row>
    <row r="45" spans="1:7" ht="25.5">
      <c r="A45" s="1">
        <v>3</v>
      </c>
      <c r="B45" s="4" t="s">
        <v>937</v>
      </c>
      <c r="E45" s="2" t="s">
        <v>665</v>
      </c>
    </row>
    <row r="46" spans="1:7" ht="153">
      <c r="A46" s="1">
        <v>5</v>
      </c>
      <c r="B46" s="4" t="s">
        <v>937</v>
      </c>
      <c r="C46" s="2" t="s">
        <v>896</v>
      </c>
      <c r="D46" s="17" t="s">
        <v>386</v>
      </c>
      <c r="E46" s="1" t="s">
        <v>666</v>
      </c>
      <c r="F46" s="4">
        <v>3</v>
      </c>
      <c r="G46" s="2" t="s">
        <v>184</v>
      </c>
    </row>
    <row r="47" spans="1:7">
      <c r="A47" s="1">
        <v>5</v>
      </c>
      <c r="B47" s="4" t="s">
        <v>937</v>
      </c>
      <c r="E47" s="2" t="s">
        <v>667</v>
      </c>
    </row>
    <row r="48" spans="1:7" ht="38.25">
      <c r="A48" s="1">
        <v>3</v>
      </c>
      <c r="B48" s="4" t="s">
        <v>937</v>
      </c>
      <c r="C48" s="2" t="s">
        <v>897</v>
      </c>
      <c r="E48" s="2" t="s">
        <v>668</v>
      </c>
      <c r="G48" s="2" t="s">
        <v>185</v>
      </c>
    </row>
    <row r="49" spans="1:7">
      <c r="A49" s="1">
        <v>3</v>
      </c>
      <c r="B49" s="4" t="s">
        <v>937</v>
      </c>
      <c r="E49" s="2"/>
    </row>
    <row r="50" spans="1:7">
      <c r="A50" s="1">
        <v>3</v>
      </c>
      <c r="B50" s="4" t="s">
        <v>937</v>
      </c>
      <c r="C50" s="3"/>
      <c r="E50" s="2"/>
    </row>
    <row r="51" spans="1:7">
      <c r="A51" s="1">
        <v>3</v>
      </c>
      <c r="B51" s="4" t="s">
        <v>937</v>
      </c>
      <c r="C51" s="3"/>
      <c r="E51" s="2"/>
    </row>
    <row r="52" spans="1:7" ht="25.5">
      <c r="B52" s="4" t="s">
        <v>939</v>
      </c>
      <c r="C52" s="3" t="s">
        <v>387</v>
      </c>
      <c r="D52" s="2" t="s">
        <v>392</v>
      </c>
      <c r="E52" s="2"/>
      <c r="F52" s="4">
        <v>3</v>
      </c>
    </row>
    <row r="53" spans="1:7" ht="25.5">
      <c r="B53" s="4" t="s">
        <v>939</v>
      </c>
      <c r="C53" s="3" t="s">
        <v>387</v>
      </c>
      <c r="D53" s="2" t="s">
        <v>393</v>
      </c>
      <c r="E53" s="2"/>
      <c r="F53" s="4">
        <v>3</v>
      </c>
    </row>
    <row r="54" spans="1:7">
      <c r="B54" s="4" t="s">
        <v>939</v>
      </c>
      <c r="C54" s="3" t="s">
        <v>387</v>
      </c>
      <c r="D54" s="17" t="s">
        <v>397</v>
      </c>
      <c r="E54" s="2"/>
      <c r="F54" s="4">
        <v>3</v>
      </c>
    </row>
    <row r="55" spans="1:7" ht="38.25">
      <c r="A55" s="1">
        <v>4</v>
      </c>
      <c r="B55" s="4" t="s">
        <v>939</v>
      </c>
      <c r="C55" s="2" t="s">
        <v>898</v>
      </c>
      <c r="D55" s="17" t="s">
        <v>1268</v>
      </c>
      <c r="E55" s="2" t="s">
        <v>669</v>
      </c>
      <c r="F55" s="4">
        <v>3</v>
      </c>
      <c r="G55" s="2" t="s">
        <v>186</v>
      </c>
    </row>
    <row r="56" spans="1:7" ht="25.5">
      <c r="A56" s="1">
        <v>4</v>
      </c>
      <c r="B56" s="4" t="s">
        <v>939</v>
      </c>
      <c r="D56" s="17" t="s">
        <v>394</v>
      </c>
      <c r="E56" s="2"/>
      <c r="F56" s="4">
        <v>3</v>
      </c>
    </row>
    <row r="57" spans="1:7" ht="25.5">
      <c r="A57" s="1">
        <v>4</v>
      </c>
      <c r="B57" s="4" t="s">
        <v>939</v>
      </c>
      <c r="D57" s="17" t="s">
        <v>395</v>
      </c>
      <c r="E57" s="2"/>
      <c r="F57" s="4">
        <v>3</v>
      </c>
    </row>
    <row r="58" spans="1:7" ht="25.5">
      <c r="A58" s="1">
        <v>4</v>
      </c>
      <c r="B58" s="4" t="s">
        <v>939</v>
      </c>
      <c r="D58" s="17" t="s">
        <v>396</v>
      </c>
      <c r="E58" s="2"/>
      <c r="F58" s="4">
        <v>3</v>
      </c>
    </row>
    <row r="59" spans="1:7" ht="51">
      <c r="A59" s="1">
        <v>4</v>
      </c>
      <c r="B59" s="4" t="s">
        <v>939</v>
      </c>
      <c r="C59" s="2" t="s">
        <v>208</v>
      </c>
      <c r="D59" s="17" t="s">
        <v>1269</v>
      </c>
      <c r="E59" s="2" t="s">
        <v>670</v>
      </c>
      <c r="F59" s="4">
        <v>3</v>
      </c>
      <c r="G59" s="2" t="s">
        <v>187</v>
      </c>
    </row>
    <row r="60" spans="1:7" ht="25.5">
      <c r="A60" s="1">
        <v>4</v>
      </c>
      <c r="B60" s="4" t="s">
        <v>939</v>
      </c>
      <c r="D60" s="17" t="s">
        <v>394</v>
      </c>
      <c r="E60" s="2" t="s">
        <v>671</v>
      </c>
      <c r="F60" s="4">
        <v>3</v>
      </c>
    </row>
    <row r="61" spans="1:7" ht="25.5">
      <c r="A61" s="1">
        <v>4</v>
      </c>
      <c r="B61" s="4" t="s">
        <v>939</v>
      </c>
      <c r="C61" s="3" t="s">
        <v>209</v>
      </c>
      <c r="D61" s="17" t="s">
        <v>394</v>
      </c>
      <c r="E61" s="2" t="s">
        <v>672</v>
      </c>
      <c r="F61" s="4">
        <v>3</v>
      </c>
      <c r="G61" s="2" t="s">
        <v>186</v>
      </c>
    </row>
    <row r="62" spans="1:7" ht="89.25">
      <c r="A62" s="1">
        <v>4</v>
      </c>
      <c r="B62" s="4" t="s">
        <v>939</v>
      </c>
      <c r="C62" s="2" t="s">
        <v>210</v>
      </c>
      <c r="E62" s="2" t="s">
        <v>673</v>
      </c>
      <c r="G62" s="2" t="s">
        <v>188</v>
      </c>
    </row>
    <row r="63" spans="1:7" ht="63.75">
      <c r="A63" s="1">
        <v>4</v>
      </c>
      <c r="B63" s="4" t="s">
        <v>939</v>
      </c>
      <c r="C63" s="2" t="s">
        <v>211</v>
      </c>
      <c r="E63" s="2" t="s">
        <v>674</v>
      </c>
      <c r="G63" s="2" t="s">
        <v>189</v>
      </c>
    </row>
    <row r="64" spans="1:7" ht="25.5">
      <c r="A64" s="1">
        <v>4</v>
      </c>
      <c r="B64" s="4" t="s">
        <v>939</v>
      </c>
      <c r="E64" s="2" t="s">
        <v>675</v>
      </c>
    </row>
    <row r="65" spans="1:7" ht="25.5">
      <c r="A65" s="1">
        <v>4</v>
      </c>
      <c r="B65" s="4" t="s">
        <v>939</v>
      </c>
      <c r="E65" s="2" t="s">
        <v>676</v>
      </c>
    </row>
    <row r="66" spans="1:7" ht="63.75">
      <c r="A66" s="1">
        <v>2</v>
      </c>
      <c r="B66" s="4" t="s">
        <v>939</v>
      </c>
      <c r="C66" s="2" t="s">
        <v>212</v>
      </c>
      <c r="D66" s="17" t="s">
        <v>398</v>
      </c>
      <c r="E66" s="2" t="s">
        <v>677</v>
      </c>
      <c r="F66" s="4">
        <v>3</v>
      </c>
      <c r="G66" s="2" t="s">
        <v>190</v>
      </c>
    </row>
    <row r="67" spans="1:7" ht="25.5">
      <c r="A67" s="1">
        <v>2</v>
      </c>
      <c r="B67" s="4" t="s">
        <v>939</v>
      </c>
      <c r="D67" s="17" t="s">
        <v>399</v>
      </c>
      <c r="E67" s="2" t="s">
        <v>678</v>
      </c>
      <c r="F67" s="4">
        <v>3</v>
      </c>
    </row>
    <row r="68" spans="1:7">
      <c r="A68" s="1">
        <v>2</v>
      </c>
      <c r="B68" s="4" t="s">
        <v>939</v>
      </c>
      <c r="D68" s="17" t="s">
        <v>400</v>
      </c>
      <c r="E68" s="2"/>
      <c r="F68" s="4">
        <v>0</v>
      </c>
    </row>
    <row r="69" spans="1:7">
      <c r="A69" s="1">
        <v>2</v>
      </c>
      <c r="B69" s="4" t="s">
        <v>939</v>
      </c>
      <c r="D69" s="17" t="s">
        <v>401</v>
      </c>
      <c r="E69" s="2"/>
      <c r="F69" s="4">
        <v>3</v>
      </c>
    </row>
    <row r="70" spans="1:7" ht="38.25">
      <c r="A70" s="1">
        <v>4</v>
      </c>
      <c r="B70" s="4" t="s">
        <v>939</v>
      </c>
      <c r="C70" s="2" t="s">
        <v>213</v>
      </c>
      <c r="D70" s="17" t="s">
        <v>402</v>
      </c>
      <c r="E70" s="2" t="s">
        <v>679</v>
      </c>
      <c r="F70" s="4">
        <v>2</v>
      </c>
      <c r="G70" s="2" t="s">
        <v>191</v>
      </c>
    </row>
    <row r="71" spans="1:7" ht="25.5">
      <c r="A71" s="1">
        <v>4</v>
      </c>
      <c r="B71" s="4" t="s">
        <v>939</v>
      </c>
      <c r="C71" s="3"/>
      <c r="D71" s="17" t="s">
        <v>403</v>
      </c>
      <c r="E71" s="2" t="s">
        <v>680</v>
      </c>
      <c r="F71" s="4">
        <v>3</v>
      </c>
    </row>
    <row r="72" spans="1:7" ht="25.5">
      <c r="A72" s="1">
        <v>4</v>
      </c>
      <c r="B72" s="4" t="s">
        <v>939</v>
      </c>
      <c r="D72" s="17" t="s">
        <v>404</v>
      </c>
      <c r="E72" s="2" t="s">
        <v>681</v>
      </c>
      <c r="F72" s="4">
        <v>1</v>
      </c>
    </row>
    <row r="73" spans="1:7">
      <c r="A73" s="1">
        <v>4</v>
      </c>
      <c r="B73" s="4" t="s">
        <v>939</v>
      </c>
      <c r="D73" s="17" t="s">
        <v>421</v>
      </c>
      <c r="E73" s="2"/>
      <c r="F73" s="4">
        <v>2</v>
      </c>
    </row>
    <row r="74" spans="1:7" ht="51">
      <c r="A74" s="1">
        <v>3</v>
      </c>
      <c r="B74" s="4" t="s">
        <v>939</v>
      </c>
      <c r="C74" s="3" t="s">
        <v>19</v>
      </c>
      <c r="D74" s="17" t="s">
        <v>405</v>
      </c>
      <c r="E74" s="2" t="s">
        <v>682</v>
      </c>
      <c r="F74" s="4">
        <v>3</v>
      </c>
      <c r="G74" s="2" t="s">
        <v>192</v>
      </c>
    </row>
    <row r="75" spans="1:7" ht="25.5">
      <c r="A75" s="1">
        <v>3</v>
      </c>
      <c r="B75" s="4" t="s">
        <v>939</v>
      </c>
      <c r="D75" s="17" t="s">
        <v>406</v>
      </c>
      <c r="E75" s="2" t="s">
        <v>683</v>
      </c>
      <c r="F75" s="4">
        <v>2</v>
      </c>
    </row>
    <row r="76" spans="1:7" ht="25.5">
      <c r="A76" s="1">
        <v>3</v>
      </c>
      <c r="B76" s="4" t="s">
        <v>939</v>
      </c>
      <c r="D76" s="17" t="s">
        <v>407</v>
      </c>
      <c r="E76" s="2" t="s">
        <v>684</v>
      </c>
      <c r="F76" s="4">
        <v>3</v>
      </c>
    </row>
    <row r="77" spans="1:7">
      <c r="A77" s="1">
        <v>3</v>
      </c>
      <c r="B77" s="4" t="s">
        <v>939</v>
      </c>
      <c r="D77" s="17" t="s">
        <v>408</v>
      </c>
      <c r="E77" s="2"/>
      <c r="F77" s="4">
        <v>3</v>
      </c>
    </row>
    <row r="78" spans="1:7" ht="25.5">
      <c r="A78" s="1">
        <v>3</v>
      </c>
      <c r="B78" s="4" t="s">
        <v>939</v>
      </c>
      <c r="D78" s="2" t="s">
        <v>409</v>
      </c>
      <c r="E78" s="2"/>
      <c r="F78" s="4">
        <v>2</v>
      </c>
    </row>
    <row r="79" spans="1:7">
      <c r="A79" s="1">
        <v>3</v>
      </c>
      <c r="B79" s="4" t="s">
        <v>939</v>
      </c>
      <c r="D79" s="2" t="s">
        <v>410</v>
      </c>
      <c r="E79" s="2"/>
      <c r="F79" s="4">
        <v>2</v>
      </c>
    </row>
    <row r="80" spans="1:7" ht="76.5">
      <c r="A80" s="1">
        <v>4</v>
      </c>
      <c r="B80" s="4" t="s">
        <v>939</v>
      </c>
      <c r="C80" s="3" t="s">
        <v>20</v>
      </c>
      <c r="D80" s="17" t="s">
        <v>411</v>
      </c>
      <c r="E80" s="2" t="s">
        <v>685</v>
      </c>
      <c r="F80" s="4">
        <v>3</v>
      </c>
      <c r="G80" s="2" t="s">
        <v>193</v>
      </c>
    </row>
    <row r="81" spans="1:7" ht="25.5">
      <c r="A81" s="1">
        <v>4</v>
      </c>
      <c r="B81" s="4" t="s">
        <v>939</v>
      </c>
      <c r="D81" s="2" t="s">
        <v>412</v>
      </c>
      <c r="E81" s="2" t="s">
        <v>686</v>
      </c>
      <c r="F81" s="4">
        <v>3</v>
      </c>
    </row>
    <row r="82" spans="1:7" ht="38.25">
      <c r="A82" s="1">
        <v>4</v>
      </c>
      <c r="B82" s="4" t="s">
        <v>939</v>
      </c>
      <c r="D82" s="2" t="s">
        <v>413</v>
      </c>
      <c r="E82" s="2" t="s">
        <v>687</v>
      </c>
      <c r="F82" s="4">
        <v>3</v>
      </c>
    </row>
    <row r="83" spans="1:7" ht="76.5">
      <c r="A83" s="1">
        <v>4</v>
      </c>
      <c r="B83" s="4" t="s">
        <v>939</v>
      </c>
      <c r="C83" s="2" t="s">
        <v>21</v>
      </c>
      <c r="D83" s="17" t="s">
        <v>411</v>
      </c>
      <c r="E83" s="2" t="s">
        <v>688</v>
      </c>
      <c r="F83" s="4">
        <v>3</v>
      </c>
      <c r="G83" s="2" t="s">
        <v>194</v>
      </c>
    </row>
    <row r="84" spans="1:7" ht="25.5">
      <c r="A84" s="1">
        <v>4</v>
      </c>
      <c r="B84" s="4" t="s">
        <v>939</v>
      </c>
      <c r="D84" s="2" t="s">
        <v>412</v>
      </c>
      <c r="E84" s="2" t="s">
        <v>689</v>
      </c>
      <c r="F84" s="4">
        <v>3</v>
      </c>
    </row>
    <row r="85" spans="1:7" ht="38.25">
      <c r="A85" s="1">
        <v>4</v>
      </c>
      <c r="B85" s="4" t="s">
        <v>939</v>
      </c>
      <c r="D85" s="2" t="s">
        <v>413</v>
      </c>
      <c r="E85" s="2" t="s">
        <v>690</v>
      </c>
      <c r="F85" s="4">
        <v>3</v>
      </c>
    </row>
    <row r="86" spans="1:7" ht="63.75">
      <c r="A86" s="1">
        <v>3</v>
      </c>
      <c r="B86" s="4" t="s">
        <v>940</v>
      </c>
      <c r="C86" s="3" t="s">
        <v>811</v>
      </c>
      <c r="D86" s="17" t="s">
        <v>414</v>
      </c>
      <c r="E86" s="2" t="s">
        <v>691</v>
      </c>
      <c r="F86" s="4">
        <v>3</v>
      </c>
      <c r="G86" s="2" t="s">
        <v>195</v>
      </c>
    </row>
    <row r="87" spans="1:7" ht="25.5">
      <c r="A87" s="1">
        <v>3</v>
      </c>
      <c r="B87" s="4" t="s">
        <v>940</v>
      </c>
      <c r="D87" s="2" t="s">
        <v>422</v>
      </c>
      <c r="E87" s="2" t="s">
        <v>692</v>
      </c>
      <c r="F87" s="4">
        <v>1</v>
      </c>
    </row>
    <row r="88" spans="1:7" ht="38.25">
      <c r="A88" s="1">
        <v>5</v>
      </c>
      <c r="B88" s="4" t="s">
        <v>940</v>
      </c>
      <c r="C88" s="2" t="s">
        <v>812</v>
      </c>
      <c r="E88" s="2" t="s">
        <v>693</v>
      </c>
      <c r="G88" s="2" t="s">
        <v>196</v>
      </c>
    </row>
    <row r="89" spans="1:7" ht="76.5">
      <c r="A89" s="1">
        <v>4</v>
      </c>
      <c r="B89" s="4" t="s">
        <v>940</v>
      </c>
      <c r="C89" s="3" t="s">
        <v>335</v>
      </c>
      <c r="D89" s="17" t="s">
        <v>415</v>
      </c>
      <c r="E89" s="2" t="s">
        <v>694</v>
      </c>
      <c r="F89" s="4">
        <v>2</v>
      </c>
      <c r="G89" s="2" t="s">
        <v>197</v>
      </c>
    </row>
    <row r="90" spans="1:7" ht="25.5">
      <c r="A90" s="1">
        <v>4</v>
      </c>
      <c r="B90" s="4" t="s">
        <v>940</v>
      </c>
      <c r="D90" s="17" t="s">
        <v>416</v>
      </c>
      <c r="E90" s="2" t="s">
        <v>695</v>
      </c>
      <c r="F90" s="4">
        <v>3</v>
      </c>
    </row>
    <row r="91" spans="1:7" ht="25.5">
      <c r="A91" s="1">
        <v>4</v>
      </c>
      <c r="B91" s="4" t="s">
        <v>940</v>
      </c>
      <c r="D91" s="2" t="s">
        <v>417</v>
      </c>
      <c r="E91" s="2" t="s">
        <v>696</v>
      </c>
      <c r="F91" s="4">
        <v>3</v>
      </c>
    </row>
    <row r="92" spans="1:7">
      <c r="E92" s="2"/>
    </row>
    <row r="93" spans="1:7">
      <c r="E93" s="2"/>
    </row>
    <row r="94" spans="1:7">
      <c r="E94" s="2"/>
    </row>
    <row r="95" spans="1:7">
      <c r="E95" s="2"/>
    </row>
    <row r="96" spans="1:7">
      <c r="E96" s="2"/>
    </row>
    <row r="97" spans="5:5">
      <c r="E97" s="2"/>
    </row>
    <row r="98" spans="5:5">
      <c r="E98" s="2"/>
    </row>
    <row r="99" spans="5:5">
      <c r="E99" s="2"/>
    </row>
    <row r="100" spans="5:5">
      <c r="E100" s="2"/>
    </row>
    <row r="101" spans="5:5">
      <c r="E101" s="2"/>
    </row>
    <row r="102" spans="5:5">
      <c r="E102" s="2"/>
    </row>
    <row r="103" spans="5:5">
      <c r="E103" s="2"/>
    </row>
    <row r="104" spans="5:5">
      <c r="E104" s="2"/>
    </row>
    <row r="105" spans="5:5">
      <c r="E105" s="2"/>
    </row>
    <row r="106" spans="5:5">
      <c r="E106" s="2"/>
    </row>
    <row r="107" spans="5:5">
      <c r="E107" s="2"/>
    </row>
    <row r="108" spans="5:5">
      <c r="E108" s="2"/>
    </row>
    <row r="109" spans="5:5">
      <c r="E109" s="2"/>
    </row>
    <row r="110" spans="5:5">
      <c r="E110" s="2"/>
    </row>
    <row r="111" spans="5:5">
      <c r="E111" s="2"/>
    </row>
    <row r="112" spans="5:5">
      <c r="E112" s="2"/>
    </row>
    <row r="113" spans="5:5">
      <c r="E113" s="2"/>
    </row>
    <row r="114" spans="5:5">
      <c r="E114" s="2"/>
    </row>
    <row r="115" spans="5:5">
      <c r="E115" s="2"/>
    </row>
    <row r="116" spans="5:5">
      <c r="E116" s="2"/>
    </row>
    <row r="117" spans="5:5">
      <c r="E117" s="2"/>
    </row>
    <row r="118" spans="5:5">
      <c r="E118" s="2"/>
    </row>
    <row r="119" spans="5:5">
      <c r="E119" s="2"/>
    </row>
    <row r="120" spans="5:5">
      <c r="E120" s="2"/>
    </row>
    <row r="121" spans="5:5">
      <c r="E121" s="2"/>
    </row>
    <row r="122" spans="5:5">
      <c r="E122" s="2"/>
    </row>
    <row r="123" spans="5:5">
      <c r="E123" s="2"/>
    </row>
    <row r="124" spans="5:5">
      <c r="E124" s="2"/>
    </row>
    <row r="125" spans="5:5">
      <c r="E125" s="2"/>
    </row>
    <row r="126" spans="5:5">
      <c r="E126" s="2"/>
    </row>
    <row r="127" spans="5:5">
      <c r="E127" s="2"/>
    </row>
    <row r="128" spans="5:5">
      <c r="E128" s="2"/>
    </row>
    <row r="129" spans="5:5">
      <c r="E129" s="2"/>
    </row>
    <row r="130" spans="5:5">
      <c r="E130" s="2"/>
    </row>
    <row r="131" spans="5:5">
      <c r="E131" s="2"/>
    </row>
    <row r="132" spans="5:5">
      <c r="E132" s="2"/>
    </row>
    <row r="133" spans="5:5">
      <c r="E133" s="2"/>
    </row>
    <row r="134" spans="5:5">
      <c r="E134" s="2"/>
    </row>
    <row r="135" spans="5:5">
      <c r="E135" s="2"/>
    </row>
    <row r="136" spans="5:5">
      <c r="E136" s="2"/>
    </row>
    <row r="137" spans="5:5">
      <c r="E137" s="2"/>
    </row>
    <row r="138" spans="5:5">
      <c r="E138" s="2"/>
    </row>
    <row r="139" spans="5:5">
      <c r="E139" s="2"/>
    </row>
    <row r="140" spans="5:5">
      <c r="E140" s="2"/>
    </row>
    <row r="141" spans="5:5">
      <c r="E141" s="2"/>
    </row>
    <row r="142" spans="5:5">
      <c r="E142" s="2"/>
    </row>
    <row r="143" spans="5:5">
      <c r="E143" s="2"/>
    </row>
    <row r="144" spans="5:5">
      <c r="E144" s="2"/>
    </row>
    <row r="145" spans="5:5">
      <c r="E145" s="2"/>
    </row>
    <row r="146" spans="5:5">
      <c r="E146" s="2"/>
    </row>
    <row r="147" spans="5:5">
      <c r="E147" s="2"/>
    </row>
    <row r="148" spans="5:5">
      <c r="E148" s="2"/>
    </row>
    <row r="149" spans="5:5">
      <c r="E149" s="2"/>
    </row>
    <row r="150" spans="5:5">
      <c r="E150" s="2"/>
    </row>
    <row r="151" spans="5:5">
      <c r="E151" s="2"/>
    </row>
    <row r="152" spans="5:5">
      <c r="E152" s="2"/>
    </row>
    <row r="153" spans="5:5">
      <c r="E153" s="2"/>
    </row>
    <row r="154" spans="5:5">
      <c r="E154" s="2"/>
    </row>
    <row r="155" spans="5:5">
      <c r="E155" s="2"/>
    </row>
    <row r="156" spans="5:5">
      <c r="E156" s="2"/>
    </row>
    <row r="157" spans="5:5">
      <c r="E157" s="2"/>
    </row>
    <row r="158" spans="5:5">
      <c r="E158" s="2"/>
    </row>
    <row r="159" spans="5:5">
      <c r="E159" s="2"/>
    </row>
    <row r="160" spans="5:5">
      <c r="E160" s="2"/>
    </row>
    <row r="161" spans="5:5">
      <c r="E161" s="2"/>
    </row>
    <row r="162" spans="5:5">
      <c r="E162" s="2"/>
    </row>
    <row r="163" spans="5:5">
      <c r="E163" s="2"/>
    </row>
    <row r="164" spans="5:5">
      <c r="E164" s="2"/>
    </row>
    <row r="165" spans="5:5">
      <c r="E165" s="2"/>
    </row>
    <row r="166" spans="5:5">
      <c r="E166" s="2"/>
    </row>
    <row r="167" spans="5:5">
      <c r="E167" s="2"/>
    </row>
    <row r="168" spans="5:5">
      <c r="E168" s="2"/>
    </row>
    <row r="169" spans="5:5">
      <c r="E169" s="2"/>
    </row>
    <row r="170" spans="5:5">
      <c r="E170" s="2"/>
    </row>
    <row r="171" spans="5:5">
      <c r="E171" s="2"/>
    </row>
    <row r="172" spans="5:5">
      <c r="E172" s="2"/>
    </row>
    <row r="173" spans="5:5">
      <c r="E173" s="2"/>
    </row>
    <row r="174" spans="5:5">
      <c r="E174" s="2"/>
    </row>
    <row r="175" spans="5:5">
      <c r="E175" s="2"/>
    </row>
    <row r="176" spans="5:5">
      <c r="E176" s="2"/>
    </row>
    <row r="177" spans="5:5">
      <c r="E177" s="2"/>
    </row>
    <row r="178" spans="5:5">
      <c r="E178" s="2"/>
    </row>
    <row r="179" spans="5:5">
      <c r="E179" s="2"/>
    </row>
    <row r="180" spans="5:5">
      <c r="E180" s="2"/>
    </row>
    <row r="181" spans="5:5">
      <c r="E181" s="2"/>
    </row>
    <row r="182" spans="5:5">
      <c r="E182" s="2"/>
    </row>
    <row r="183" spans="5:5">
      <c r="E183" s="2"/>
    </row>
    <row r="184" spans="5:5">
      <c r="E184" s="2"/>
    </row>
    <row r="185" spans="5:5">
      <c r="E185" s="2"/>
    </row>
    <row r="186" spans="5:5">
      <c r="E186" s="2"/>
    </row>
    <row r="187" spans="5:5">
      <c r="E187" s="2"/>
    </row>
    <row r="188" spans="5:5">
      <c r="E188" s="2"/>
    </row>
    <row r="189" spans="5:5">
      <c r="E189" s="2"/>
    </row>
    <row r="190" spans="5:5">
      <c r="E190" s="2"/>
    </row>
    <row r="191" spans="5:5">
      <c r="E191" s="2"/>
    </row>
    <row r="192" spans="5:5">
      <c r="E192" s="2"/>
    </row>
    <row r="193" spans="5:5">
      <c r="E193" s="2"/>
    </row>
    <row r="194" spans="5:5">
      <c r="E194" s="2"/>
    </row>
    <row r="195" spans="5:5">
      <c r="E195" s="2"/>
    </row>
    <row r="196" spans="5:5">
      <c r="E196" s="2"/>
    </row>
    <row r="197" spans="5:5">
      <c r="E197" s="2"/>
    </row>
    <row r="198" spans="5:5">
      <c r="E198" s="2"/>
    </row>
    <row r="199" spans="5:5">
      <c r="E199" s="2"/>
    </row>
    <row r="200" spans="5:5">
      <c r="E200" s="2"/>
    </row>
    <row r="201" spans="5:5">
      <c r="E201" s="2"/>
    </row>
    <row r="202" spans="5:5">
      <c r="E202" s="2"/>
    </row>
    <row r="203" spans="5:5">
      <c r="E203" s="2"/>
    </row>
    <row r="204" spans="5:5">
      <c r="E204" s="2"/>
    </row>
    <row r="205" spans="5:5">
      <c r="E205" s="2"/>
    </row>
    <row r="206" spans="5:5">
      <c r="E206" s="2"/>
    </row>
    <row r="207" spans="5:5">
      <c r="E207" s="2"/>
    </row>
    <row r="208" spans="5:5">
      <c r="E208" s="2"/>
    </row>
    <row r="209" spans="5:5">
      <c r="E209" s="2"/>
    </row>
    <row r="210" spans="5:5">
      <c r="E210" s="2"/>
    </row>
    <row r="211" spans="5:5">
      <c r="E211" s="2"/>
    </row>
    <row r="212" spans="5:5">
      <c r="E212" s="2"/>
    </row>
    <row r="213" spans="5:5">
      <c r="E213" s="2"/>
    </row>
    <row r="214" spans="5:5">
      <c r="E214" s="2"/>
    </row>
    <row r="215" spans="5:5">
      <c r="E215" s="2"/>
    </row>
    <row r="216" spans="5:5">
      <c r="E216" s="2"/>
    </row>
    <row r="217" spans="5:5">
      <c r="E217" s="2"/>
    </row>
    <row r="218" spans="5:5">
      <c r="E218" s="2"/>
    </row>
    <row r="219" spans="5:5">
      <c r="E219" s="2"/>
    </row>
    <row r="220" spans="5:5">
      <c r="E220" s="2"/>
    </row>
    <row r="221" spans="5:5">
      <c r="E221" s="2"/>
    </row>
    <row r="222" spans="5:5">
      <c r="E222" s="2"/>
    </row>
    <row r="223" spans="5:5">
      <c r="E223" s="2"/>
    </row>
    <row r="224" spans="5:5">
      <c r="E224" s="2"/>
    </row>
    <row r="225" spans="5:5">
      <c r="E225" s="2"/>
    </row>
    <row r="226" spans="5:5">
      <c r="E226" s="2"/>
    </row>
    <row r="227" spans="5:5">
      <c r="E227" s="2"/>
    </row>
    <row r="228" spans="5:5">
      <c r="E228" s="2"/>
    </row>
    <row r="229" spans="5:5">
      <c r="E229" s="2"/>
    </row>
    <row r="230" spans="5:5">
      <c r="E230" s="2"/>
    </row>
    <row r="231" spans="5:5">
      <c r="E231" s="2"/>
    </row>
    <row r="232" spans="5:5">
      <c r="E232" s="2"/>
    </row>
    <row r="233" spans="5:5">
      <c r="E233" s="2"/>
    </row>
    <row r="234" spans="5:5">
      <c r="E234" s="2"/>
    </row>
    <row r="235" spans="5:5">
      <c r="E235" s="2"/>
    </row>
    <row r="236" spans="5:5">
      <c r="E236" s="2"/>
    </row>
    <row r="237" spans="5:5">
      <c r="E237" s="2"/>
    </row>
    <row r="238" spans="5:5">
      <c r="E238" s="2"/>
    </row>
    <row r="239" spans="5:5">
      <c r="E239" s="2"/>
    </row>
    <row r="240" spans="5:5">
      <c r="E240" s="2"/>
    </row>
    <row r="241" spans="5:5">
      <c r="E241" s="2"/>
    </row>
    <row r="242" spans="5:5">
      <c r="E242" s="2"/>
    </row>
    <row r="243" spans="5:5">
      <c r="E243" s="2"/>
    </row>
    <row r="244" spans="5:5">
      <c r="E244" s="2"/>
    </row>
    <row r="245" spans="5:5">
      <c r="E245" s="2"/>
    </row>
    <row r="246" spans="5:5">
      <c r="E246" s="2"/>
    </row>
    <row r="247" spans="5:5">
      <c r="E247" s="2"/>
    </row>
    <row r="248" spans="5:5">
      <c r="E248" s="2"/>
    </row>
    <row r="249" spans="5:5">
      <c r="E249" s="2"/>
    </row>
    <row r="250" spans="5:5">
      <c r="E250" s="2"/>
    </row>
    <row r="251" spans="5:5">
      <c r="E251" s="2"/>
    </row>
    <row r="252" spans="5:5">
      <c r="E252" s="2"/>
    </row>
    <row r="253" spans="5:5">
      <c r="E253" s="2"/>
    </row>
    <row r="254" spans="5:5">
      <c r="E254" s="2"/>
    </row>
    <row r="255" spans="5:5">
      <c r="E255" s="2"/>
    </row>
    <row r="256" spans="5:5">
      <c r="E256" s="2"/>
    </row>
    <row r="257" spans="5:5">
      <c r="E257" s="2"/>
    </row>
    <row r="258" spans="5:5">
      <c r="E258" s="2"/>
    </row>
    <row r="259" spans="5:5">
      <c r="E259" s="2"/>
    </row>
    <row r="260" spans="5:5">
      <c r="E260" s="2"/>
    </row>
    <row r="261" spans="5:5">
      <c r="E261" s="2"/>
    </row>
    <row r="262" spans="5:5">
      <c r="E262" s="2"/>
    </row>
    <row r="263" spans="5:5">
      <c r="E263" s="2"/>
    </row>
    <row r="264" spans="5:5">
      <c r="E264" s="2"/>
    </row>
    <row r="265" spans="5:5">
      <c r="E265" s="2"/>
    </row>
    <row r="266" spans="5:5">
      <c r="E266" s="2"/>
    </row>
    <row r="267" spans="5:5">
      <c r="E267" s="2"/>
    </row>
    <row r="268" spans="5:5">
      <c r="E268" s="2"/>
    </row>
    <row r="269" spans="5:5">
      <c r="E269" s="2"/>
    </row>
    <row r="270" spans="5:5">
      <c r="E270" s="2"/>
    </row>
    <row r="271" spans="5:5">
      <c r="E271" s="2"/>
    </row>
    <row r="272" spans="5:5">
      <c r="E272" s="2"/>
    </row>
    <row r="273" spans="5:5">
      <c r="E273" s="2"/>
    </row>
    <row r="274" spans="5:5">
      <c r="E274" s="2"/>
    </row>
    <row r="275" spans="5:5">
      <c r="E275" s="2"/>
    </row>
    <row r="276" spans="5:5">
      <c r="E276" s="2"/>
    </row>
    <row r="277" spans="5:5">
      <c r="E277" s="2"/>
    </row>
    <row r="278" spans="5:5">
      <c r="E278" s="2"/>
    </row>
    <row r="279" spans="5:5">
      <c r="E279" s="2"/>
    </row>
    <row r="280" spans="5:5">
      <c r="E280" s="2"/>
    </row>
    <row r="281" spans="5:5">
      <c r="E281" s="2"/>
    </row>
    <row r="282" spans="5:5">
      <c r="E282" s="2"/>
    </row>
    <row r="283" spans="5:5">
      <c r="E283" s="2"/>
    </row>
    <row r="284" spans="5:5">
      <c r="E284" s="2"/>
    </row>
    <row r="285" spans="5:5">
      <c r="E285" s="2"/>
    </row>
    <row r="286" spans="5:5">
      <c r="E286" s="2"/>
    </row>
    <row r="287" spans="5:5">
      <c r="E287" s="2"/>
    </row>
    <row r="288" spans="5:5">
      <c r="E288" s="2"/>
    </row>
    <row r="289" spans="5:5">
      <c r="E289" s="2"/>
    </row>
    <row r="290" spans="5:5">
      <c r="E290" s="2"/>
    </row>
    <row r="291" spans="5:5">
      <c r="E291" s="2"/>
    </row>
    <row r="292" spans="5:5">
      <c r="E292" s="2"/>
    </row>
    <row r="293" spans="5:5">
      <c r="E293" s="2"/>
    </row>
    <row r="294" spans="5:5">
      <c r="E294" s="2"/>
    </row>
    <row r="295" spans="5:5">
      <c r="E295" s="2"/>
    </row>
    <row r="296" spans="5:5">
      <c r="E296" s="2"/>
    </row>
    <row r="297" spans="5:5">
      <c r="E297" s="2"/>
    </row>
    <row r="298" spans="5:5">
      <c r="E298" s="2"/>
    </row>
    <row r="299" spans="5:5">
      <c r="E299" s="2"/>
    </row>
    <row r="300" spans="5:5">
      <c r="E300" s="2"/>
    </row>
    <row r="301" spans="5:5">
      <c r="E301" s="2"/>
    </row>
    <row r="302" spans="5:5">
      <c r="E302" s="2"/>
    </row>
    <row r="303" spans="5:5">
      <c r="E303" s="2"/>
    </row>
    <row r="304" spans="5:5">
      <c r="E304" s="2"/>
    </row>
    <row r="305" spans="5:5">
      <c r="E305" s="2"/>
    </row>
    <row r="306" spans="5:5">
      <c r="E306" s="2"/>
    </row>
    <row r="307" spans="5:5">
      <c r="E307" s="2"/>
    </row>
    <row r="308" spans="5:5">
      <c r="E308" s="2"/>
    </row>
    <row r="309" spans="5:5">
      <c r="E309" s="2"/>
    </row>
    <row r="310" spans="5:5">
      <c r="E310" s="2"/>
    </row>
    <row r="311" spans="5:5">
      <c r="E311" s="2"/>
    </row>
    <row r="312" spans="5:5">
      <c r="E312" s="2"/>
    </row>
    <row r="313" spans="5:5">
      <c r="E313" s="2"/>
    </row>
    <row r="314" spans="5:5">
      <c r="E314" s="2"/>
    </row>
    <row r="315" spans="5:5">
      <c r="E315" s="2"/>
    </row>
    <row r="316" spans="5:5">
      <c r="E316" s="2"/>
    </row>
    <row r="317" spans="5:5">
      <c r="E317" s="2"/>
    </row>
    <row r="318" spans="5:5">
      <c r="E318" s="2"/>
    </row>
    <row r="319" spans="5:5">
      <c r="E319" s="2"/>
    </row>
    <row r="320" spans="5:5">
      <c r="E320" s="2"/>
    </row>
    <row r="321" spans="5:5">
      <c r="E321" s="2"/>
    </row>
    <row r="322" spans="5:5">
      <c r="E322" s="2"/>
    </row>
    <row r="323" spans="5:5">
      <c r="E323" s="2"/>
    </row>
    <row r="324" spans="5:5">
      <c r="E324" s="2"/>
    </row>
    <row r="325" spans="5:5">
      <c r="E325" s="2"/>
    </row>
    <row r="326" spans="5:5">
      <c r="E326" s="2"/>
    </row>
    <row r="327" spans="5:5">
      <c r="E327" s="2"/>
    </row>
    <row r="328" spans="5:5">
      <c r="E328" s="2"/>
    </row>
    <row r="329" spans="5:5">
      <c r="E329" s="2"/>
    </row>
    <row r="330" spans="5:5">
      <c r="E330" s="2"/>
    </row>
    <row r="331" spans="5:5">
      <c r="E331" s="2"/>
    </row>
    <row r="332" spans="5:5">
      <c r="E332" s="2"/>
    </row>
    <row r="333" spans="5:5">
      <c r="E333" s="2"/>
    </row>
    <row r="334" spans="5:5">
      <c r="E334" s="2"/>
    </row>
    <row r="335" spans="5:5">
      <c r="E335" s="2"/>
    </row>
    <row r="336" spans="5:5">
      <c r="E336" s="2"/>
    </row>
    <row r="337" spans="5:5">
      <c r="E337" s="2"/>
    </row>
    <row r="338" spans="5:5">
      <c r="E338" s="2"/>
    </row>
    <row r="339" spans="5:5">
      <c r="E339" s="2"/>
    </row>
    <row r="340" spans="5:5">
      <c r="E340" s="2"/>
    </row>
    <row r="341" spans="5:5">
      <c r="E341" s="2"/>
    </row>
    <row r="342" spans="5:5">
      <c r="E342" s="2"/>
    </row>
    <row r="343" spans="5:5">
      <c r="E343" s="2"/>
    </row>
    <row r="344" spans="5:5">
      <c r="E344" s="2"/>
    </row>
    <row r="345" spans="5:5">
      <c r="E345" s="2"/>
    </row>
    <row r="346" spans="5:5">
      <c r="E346" s="2"/>
    </row>
    <row r="347" spans="5:5">
      <c r="E347" s="2"/>
    </row>
    <row r="348" spans="5:5">
      <c r="E348" s="2"/>
    </row>
    <row r="349" spans="5:5">
      <c r="E349" s="2"/>
    </row>
    <row r="350" spans="5:5">
      <c r="E350" s="2"/>
    </row>
    <row r="351" spans="5:5">
      <c r="E351" s="2"/>
    </row>
    <row r="352" spans="5:5">
      <c r="E352" s="2"/>
    </row>
    <row r="353" spans="5:5">
      <c r="E353" s="2"/>
    </row>
    <row r="354" spans="5:5">
      <c r="E354" s="2"/>
    </row>
    <row r="355" spans="5:5">
      <c r="E355" s="2"/>
    </row>
    <row r="356" spans="5:5">
      <c r="E356" s="2"/>
    </row>
    <row r="357" spans="5:5">
      <c r="E357" s="2"/>
    </row>
    <row r="358" spans="5:5">
      <c r="E358" s="2"/>
    </row>
    <row r="359" spans="5:5">
      <c r="E359" s="2"/>
    </row>
    <row r="360" spans="5:5">
      <c r="E360" s="2"/>
    </row>
    <row r="361" spans="5:5">
      <c r="E361" s="2"/>
    </row>
    <row r="362" spans="5:5">
      <c r="E362" s="2"/>
    </row>
    <row r="363" spans="5:5">
      <c r="E363" s="2"/>
    </row>
    <row r="364" spans="5:5">
      <c r="E364" s="2"/>
    </row>
    <row r="365" spans="5:5">
      <c r="E365" s="2"/>
    </row>
    <row r="366" spans="5:5">
      <c r="E366" s="2"/>
    </row>
    <row r="367" spans="5:5">
      <c r="E367" s="2"/>
    </row>
    <row r="368" spans="5:5">
      <c r="E368" s="2"/>
    </row>
    <row r="369" spans="5:5">
      <c r="E369" s="2"/>
    </row>
    <row r="370" spans="5:5">
      <c r="E370" s="2"/>
    </row>
    <row r="371" spans="5:5">
      <c r="E371" s="2"/>
    </row>
    <row r="372" spans="5:5">
      <c r="E372" s="2"/>
    </row>
    <row r="373" spans="5:5">
      <c r="E373" s="2"/>
    </row>
    <row r="374" spans="5:5">
      <c r="E374" s="2"/>
    </row>
    <row r="375" spans="5:5">
      <c r="E375" s="2"/>
    </row>
    <row r="376" spans="5:5">
      <c r="E376" s="2"/>
    </row>
    <row r="377" spans="5:5">
      <c r="E377" s="2"/>
    </row>
    <row r="378" spans="5:5">
      <c r="E378" s="2"/>
    </row>
    <row r="379" spans="5:5">
      <c r="E379" s="2"/>
    </row>
    <row r="380" spans="5:5">
      <c r="E380" s="2"/>
    </row>
    <row r="381" spans="5:5">
      <c r="E381" s="2"/>
    </row>
    <row r="382" spans="5:5">
      <c r="E382" s="2"/>
    </row>
    <row r="383" spans="5:5">
      <c r="E383" s="2"/>
    </row>
    <row r="384" spans="5:5">
      <c r="E384" s="2"/>
    </row>
    <row r="385" spans="5:5">
      <c r="E385" s="2"/>
    </row>
    <row r="386" spans="5:5">
      <c r="E386" s="2"/>
    </row>
    <row r="387" spans="5:5">
      <c r="E387" s="2"/>
    </row>
    <row r="388" spans="5:5">
      <c r="E388" s="2"/>
    </row>
    <row r="389" spans="5:5">
      <c r="E389" s="2"/>
    </row>
    <row r="390" spans="5:5">
      <c r="E390" s="2"/>
    </row>
    <row r="391" spans="5:5">
      <c r="E391" s="2"/>
    </row>
    <row r="392" spans="5:5">
      <c r="E392" s="2"/>
    </row>
    <row r="393" spans="5:5">
      <c r="E393" s="2"/>
    </row>
    <row r="394" spans="5:5">
      <c r="E394" s="2"/>
    </row>
    <row r="395" spans="5:5">
      <c r="E395" s="2"/>
    </row>
    <row r="396" spans="5:5">
      <c r="E396" s="2"/>
    </row>
    <row r="397" spans="5:5">
      <c r="E397" s="2"/>
    </row>
    <row r="398" spans="5:5">
      <c r="E398" s="2"/>
    </row>
    <row r="399" spans="5:5">
      <c r="E399" s="2"/>
    </row>
    <row r="400" spans="5:5">
      <c r="E400" s="2"/>
    </row>
    <row r="401" spans="5:5">
      <c r="E401" s="2"/>
    </row>
    <row r="402" spans="5:5">
      <c r="E402" s="2"/>
    </row>
    <row r="403" spans="5:5">
      <c r="E403" s="2"/>
    </row>
    <row r="404" spans="5:5">
      <c r="E404" s="2"/>
    </row>
    <row r="405" spans="5:5">
      <c r="E405" s="2"/>
    </row>
    <row r="406" spans="5:5">
      <c r="E406" s="2"/>
    </row>
    <row r="407" spans="5:5">
      <c r="E407" s="2"/>
    </row>
    <row r="408" spans="5:5">
      <c r="E408" s="2"/>
    </row>
    <row r="409" spans="5:5">
      <c r="E409" s="2"/>
    </row>
    <row r="410" spans="5:5">
      <c r="E410" s="2"/>
    </row>
    <row r="411" spans="5:5">
      <c r="E411" s="2"/>
    </row>
    <row r="412" spans="5:5">
      <c r="E412" s="2"/>
    </row>
    <row r="413" spans="5:5">
      <c r="E413" s="2"/>
    </row>
    <row r="414" spans="5:5">
      <c r="E414" s="2"/>
    </row>
    <row r="415" spans="5:5">
      <c r="E415" s="2"/>
    </row>
    <row r="416" spans="5:5">
      <c r="E416" s="2"/>
    </row>
    <row r="417" spans="5:5">
      <c r="E417" s="2"/>
    </row>
    <row r="418" spans="5:5">
      <c r="E418" s="2"/>
    </row>
    <row r="419" spans="5:5">
      <c r="E419" s="2"/>
    </row>
    <row r="420" spans="5:5">
      <c r="E420" s="2"/>
    </row>
    <row r="421" spans="5:5">
      <c r="E421" s="2"/>
    </row>
    <row r="422" spans="5:5">
      <c r="E422" s="2"/>
    </row>
    <row r="423" spans="5:5">
      <c r="E423" s="2"/>
    </row>
    <row r="424" spans="5:5">
      <c r="E424" s="2"/>
    </row>
    <row r="425" spans="5:5">
      <c r="E425" s="2"/>
    </row>
    <row r="426" spans="5:5">
      <c r="E426" s="2"/>
    </row>
    <row r="427" spans="5:5">
      <c r="E427" s="2"/>
    </row>
    <row r="428" spans="5:5">
      <c r="E428" s="2"/>
    </row>
    <row r="429" spans="5:5">
      <c r="E429" s="2"/>
    </row>
    <row r="430" spans="5:5">
      <c r="E430" s="2"/>
    </row>
    <row r="431" spans="5:5">
      <c r="E431" s="2"/>
    </row>
    <row r="432" spans="5:5">
      <c r="E432" s="2"/>
    </row>
    <row r="433" spans="5:5">
      <c r="E433" s="2"/>
    </row>
    <row r="434" spans="5:5">
      <c r="E434" s="2"/>
    </row>
    <row r="435" spans="5:5">
      <c r="E435" s="2"/>
    </row>
    <row r="436" spans="5:5">
      <c r="E436" s="2"/>
    </row>
    <row r="437" spans="5:5">
      <c r="E437" s="2"/>
    </row>
    <row r="438" spans="5:5">
      <c r="E438" s="2"/>
    </row>
    <row r="439" spans="5:5">
      <c r="E439" s="2"/>
    </row>
    <row r="440" spans="5:5">
      <c r="E440" s="2"/>
    </row>
    <row r="441" spans="5:5">
      <c r="E441" s="2"/>
    </row>
    <row r="442" spans="5:5">
      <c r="E442" s="2"/>
    </row>
    <row r="443" spans="5:5">
      <c r="E443" s="2"/>
    </row>
    <row r="444" spans="5:5">
      <c r="E444" s="2"/>
    </row>
    <row r="445" spans="5:5">
      <c r="E445" s="2"/>
    </row>
    <row r="446" spans="5:5">
      <c r="E446" s="2"/>
    </row>
    <row r="447" spans="5:5">
      <c r="E447" s="2"/>
    </row>
    <row r="448" spans="5:5">
      <c r="E448" s="2"/>
    </row>
    <row r="449" spans="5:5">
      <c r="E449" s="2"/>
    </row>
    <row r="450" spans="5:5">
      <c r="E450" s="2"/>
    </row>
    <row r="451" spans="5:5">
      <c r="E451" s="2"/>
    </row>
    <row r="452" spans="5:5">
      <c r="E452" s="2"/>
    </row>
    <row r="453" spans="5:5">
      <c r="E453" s="2"/>
    </row>
    <row r="454" spans="5:5">
      <c r="E454" s="2"/>
    </row>
    <row r="455" spans="5:5">
      <c r="E455" s="2"/>
    </row>
    <row r="456" spans="5:5">
      <c r="E456" s="2"/>
    </row>
    <row r="457" spans="5:5">
      <c r="E457" s="2"/>
    </row>
    <row r="458" spans="5:5">
      <c r="E458" s="2"/>
    </row>
  </sheetData>
  <mergeCells count="2">
    <mergeCell ref="A1:G1"/>
    <mergeCell ref="A2:G2"/>
  </mergeCells>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worksheet>
</file>

<file path=xl/worksheets/sheet4.xml><?xml version="1.0" encoding="utf-8"?>
<worksheet xmlns="http://schemas.openxmlformats.org/spreadsheetml/2006/main" xmlns:r="http://schemas.openxmlformats.org/officeDocument/2006/relationships">
  <sheetPr codeName="Sheet5" enableFormatConditionsCalculation="0">
    <tabColor indexed="33"/>
  </sheetPr>
  <dimension ref="A1:G158"/>
  <sheetViews>
    <sheetView topLeftCell="B2" zoomScaleNormal="100" zoomScaleSheetLayoutView="100" workbookViewId="0">
      <selection activeCell="C4" sqref="C4"/>
    </sheetView>
  </sheetViews>
  <sheetFormatPr defaultRowHeight="12.75"/>
  <cols>
    <col min="1" max="1" width="8.42578125" style="1" customWidth="1"/>
    <col min="2" max="2" width="8" style="1" bestFit="1" customWidth="1"/>
    <col min="3" max="3" width="48.7109375" style="2" customWidth="1"/>
    <col min="4" max="4" width="50.7109375" style="2" customWidth="1"/>
    <col min="5" max="5" width="51" style="1" customWidth="1"/>
    <col min="6" max="6" width="6.42578125" style="4" bestFit="1" customWidth="1"/>
    <col min="7" max="7" width="11" style="2" customWidth="1"/>
    <col min="8" max="16384" width="9.140625" style="8"/>
  </cols>
  <sheetData>
    <row r="1" spans="1:7" ht="18.75">
      <c r="A1" s="5" t="s">
        <v>1046</v>
      </c>
      <c r="B1" s="6"/>
      <c r="C1" s="7"/>
      <c r="D1" s="7"/>
      <c r="E1" s="7"/>
      <c r="F1" s="26"/>
      <c r="G1" s="7"/>
    </row>
    <row r="2" spans="1:7" ht="18.75">
      <c r="A2" s="5" t="s">
        <v>1047</v>
      </c>
      <c r="B2" s="6"/>
      <c r="C2" s="7"/>
      <c r="D2" s="7"/>
      <c r="E2" s="7"/>
      <c r="F2" s="26"/>
      <c r="G2" s="7"/>
    </row>
    <row r="3" spans="1:7" s="11" customFormat="1" ht="38.25">
      <c r="A3" s="9" t="s">
        <v>1305</v>
      </c>
      <c r="B3" s="9" t="s">
        <v>1039</v>
      </c>
      <c r="C3" s="9" t="s">
        <v>1041</v>
      </c>
      <c r="D3" s="9" t="s">
        <v>1044</v>
      </c>
      <c r="E3" s="9" t="s">
        <v>941</v>
      </c>
      <c r="F3" s="19" t="s">
        <v>833</v>
      </c>
      <c r="G3" s="9" t="s">
        <v>1040</v>
      </c>
    </row>
    <row r="4" spans="1:7" s="11" customFormat="1" ht="25.5">
      <c r="A4" s="19"/>
      <c r="B4" s="19" t="s">
        <v>1048</v>
      </c>
      <c r="C4" s="21" t="s">
        <v>387</v>
      </c>
      <c r="D4" s="24" t="s">
        <v>427</v>
      </c>
      <c r="E4" s="2" t="s">
        <v>1043</v>
      </c>
      <c r="F4" s="19">
        <v>1</v>
      </c>
      <c r="G4" s="21"/>
    </row>
    <row r="5" spans="1:7" s="11" customFormat="1" ht="38.25">
      <c r="A5" s="19">
        <v>3</v>
      </c>
      <c r="B5" s="19" t="s">
        <v>1048</v>
      </c>
      <c r="C5" s="21" t="s">
        <v>387</v>
      </c>
      <c r="D5" s="24" t="s">
        <v>428</v>
      </c>
      <c r="E5" s="19"/>
      <c r="F5" s="19">
        <v>1</v>
      </c>
      <c r="G5" s="21" t="s">
        <v>232</v>
      </c>
    </row>
    <row r="6" spans="1:7" s="11" customFormat="1" ht="38.25">
      <c r="A6" s="19">
        <v>4</v>
      </c>
      <c r="B6" s="19" t="s">
        <v>1048</v>
      </c>
      <c r="C6" s="21" t="s">
        <v>387</v>
      </c>
      <c r="D6" s="24" t="s">
        <v>428</v>
      </c>
      <c r="E6" s="19"/>
      <c r="F6" s="19">
        <v>1</v>
      </c>
      <c r="G6" s="21" t="s">
        <v>232</v>
      </c>
    </row>
    <row r="7" spans="1:7" s="11" customFormat="1" ht="25.5">
      <c r="A7" s="19">
        <v>1</v>
      </c>
      <c r="B7" s="19" t="s">
        <v>1048</v>
      </c>
      <c r="C7" s="21" t="s">
        <v>387</v>
      </c>
      <c r="D7" s="24" t="s">
        <v>429</v>
      </c>
      <c r="E7" s="19"/>
      <c r="F7" s="19">
        <v>1</v>
      </c>
      <c r="G7" s="21" t="s">
        <v>233</v>
      </c>
    </row>
    <row r="8" spans="1:7" s="11" customFormat="1" ht="25.5">
      <c r="A8" s="19">
        <v>2</v>
      </c>
      <c r="B8" s="19" t="s">
        <v>1048</v>
      </c>
      <c r="C8" s="21" t="s">
        <v>387</v>
      </c>
      <c r="D8" s="24" t="s">
        <v>429</v>
      </c>
      <c r="E8" s="19"/>
      <c r="F8" s="19">
        <v>1</v>
      </c>
      <c r="G8" s="21" t="s">
        <v>233</v>
      </c>
    </row>
    <row r="9" spans="1:7" s="11" customFormat="1" ht="25.5">
      <c r="A9" s="19">
        <v>3</v>
      </c>
      <c r="B9" s="19" t="s">
        <v>1048</v>
      </c>
      <c r="C9" s="21" t="s">
        <v>387</v>
      </c>
      <c r="D9" s="24" t="s">
        <v>429</v>
      </c>
      <c r="E9" s="19"/>
      <c r="F9" s="19">
        <v>1</v>
      </c>
      <c r="G9" s="21" t="s">
        <v>233</v>
      </c>
    </row>
    <row r="10" spans="1:7" s="11" customFormat="1" ht="25.5">
      <c r="A10" s="19">
        <v>4</v>
      </c>
      <c r="B10" s="19" t="s">
        <v>1048</v>
      </c>
      <c r="C10" s="21" t="s">
        <v>387</v>
      </c>
      <c r="D10" s="24" t="s">
        <v>429</v>
      </c>
      <c r="E10" s="19"/>
      <c r="F10" s="19">
        <v>1</v>
      </c>
      <c r="G10" s="21" t="s">
        <v>233</v>
      </c>
    </row>
    <row r="11" spans="1:7" s="11" customFormat="1" ht="25.5">
      <c r="A11" s="19">
        <v>5</v>
      </c>
      <c r="B11" s="19" t="s">
        <v>1048</v>
      </c>
      <c r="C11" s="21" t="s">
        <v>387</v>
      </c>
      <c r="D11" s="24" t="s">
        <v>429</v>
      </c>
      <c r="E11" s="19"/>
      <c r="F11" s="19">
        <v>1</v>
      </c>
      <c r="G11" s="21" t="s">
        <v>233</v>
      </c>
    </row>
    <row r="12" spans="1:7" s="11" customFormat="1" ht="25.5">
      <c r="A12" s="19">
        <v>6</v>
      </c>
      <c r="B12" s="19" t="s">
        <v>1048</v>
      </c>
      <c r="C12" s="21" t="s">
        <v>387</v>
      </c>
      <c r="D12" s="24" t="s">
        <v>429</v>
      </c>
      <c r="E12" s="19"/>
      <c r="F12" s="19">
        <v>1</v>
      </c>
      <c r="G12" s="21" t="s">
        <v>233</v>
      </c>
    </row>
    <row r="13" spans="1:7" s="11" customFormat="1" ht="25.5">
      <c r="A13" s="19">
        <v>1</v>
      </c>
      <c r="B13" s="19" t="s">
        <v>1048</v>
      </c>
      <c r="C13" s="21" t="s">
        <v>387</v>
      </c>
      <c r="D13" s="24" t="s">
        <v>430</v>
      </c>
      <c r="E13" s="19"/>
      <c r="F13" s="19">
        <v>1</v>
      </c>
      <c r="G13" s="28" t="s">
        <v>282</v>
      </c>
    </row>
    <row r="14" spans="1:7" s="11" customFormat="1">
      <c r="A14" s="19">
        <v>3</v>
      </c>
      <c r="B14" s="19" t="s">
        <v>1048</v>
      </c>
      <c r="C14" s="21" t="s">
        <v>387</v>
      </c>
      <c r="D14" s="24" t="s">
        <v>431</v>
      </c>
      <c r="E14" s="19"/>
      <c r="F14" s="19">
        <v>1</v>
      </c>
      <c r="G14" s="28" t="s">
        <v>283</v>
      </c>
    </row>
    <row r="15" spans="1:7" s="11" customFormat="1" ht="25.5">
      <c r="A15" s="19">
        <v>2</v>
      </c>
      <c r="B15" s="19" t="s">
        <v>1048</v>
      </c>
      <c r="C15" s="21" t="s">
        <v>387</v>
      </c>
      <c r="D15" s="24" t="s">
        <v>432</v>
      </c>
      <c r="E15" s="19"/>
      <c r="F15" s="19">
        <v>1</v>
      </c>
      <c r="G15" s="28" t="s">
        <v>284</v>
      </c>
    </row>
    <row r="16" spans="1:7" s="11" customFormat="1" ht="25.5">
      <c r="A16" s="19">
        <v>2</v>
      </c>
      <c r="B16" s="19" t="s">
        <v>1048</v>
      </c>
      <c r="C16" s="21" t="s">
        <v>387</v>
      </c>
      <c r="D16" s="24" t="s">
        <v>433</v>
      </c>
      <c r="E16" s="19"/>
      <c r="F16" s="19">
        <v>1</v>
      </c>
      <c r="G16" s="21" t="s">
        <v>246</v>
      </c>
    </row>
    <row r="17" spans="1:7" s="11" customFormat="1" ht="25.5">
      <c r="A17" s="19">
        <v>1</v>
      </c>
      <c r="B17" s="19" t="s">
        <v>1048</v>
      </c>
      <c r="C17" s="21" t="s">
        <v>387</v>
      </c>
      <c r="D17" s="24" t="s">
        <v>426</v>
      </c>
      <c r="E17" s="19"/>
      <c r="F17" s="19">
        <v>1</v>
      </c>
      <c r="G17" s="21" t="s">
        <v>247</v>
      </c>
    </row>
    <row r="18" spans="1:7" s="11" customFormat="1" ht="25.5">
      <c r="A18" s="19">
        <v>2</v>
      </c>
      <c r="B18" s="19" t="s">
        <v>1048</v>
      </c>
      <c r="C18" s="21" t="s">
        <v>387</v>
      </c>
      <c r="D18" s="24" t="s">
        <v>488</v>
      </c>
      <c r="E18" s="19"/>
      <c r="F18" s="19">
        <v>1</v>
      </c>
      <c r="G18" s="21" t="s">
        <v>248</v>
      </c>
    </row>
    <row r="19" spans="1:7" s="11" customFormat="1" ht="25.5">
      <c r="A19" s="19">
        <v>4</v>
      </c>
      <c r="B19" s="19" t="s">
        <v>1048</v>
      </c>
      <c r="C19" s="21" t="s">
        <v>387</v>
      </c>
      <c r="D19" s="24" t="s">
        <v>434</v>
      </c>
      <c r="E19" s="19"/>
      <c r="F19" s="19">
        <v>1</v>
      </c>
      <c r="G19" s="21" t="s">
        <v>234</v>
      </c>
    </row>
    <row r="20" spans="1:7" s="11" customFormat="1" ht="25.5">
      <c r="A20" s="19">
        <v>5</v>
      </c>
      <c r="B20" s="19" t="s">
        <v>1048</v>
      </c>
      <c r="C20" s="21" t="s">
        <v>387</v>
      </c>
      <c r="D20" s="24" t="s">
        <v>434</v>
      </c>
      <c r="E20" s="19"/>
      <c r="F20" s="19">
        <v>1</v>
      </c>
      <c r="G20" s="21" t="s">
        <v>234</v>
      </c>
    </row>
    <row r="21" spans="1:7" ht="63.75">
      <c r="A21" s="1">
        <v>2</v>
      </c>
      <c r="B21" s="19" t="s">
        <v>1048</v>
      </c>
      <c r="C21" s="2" t="s">
        <v>1049</v>
      </c>
      <c r="D21" s="2" t="s">
        <v>423</v>
      </c>
      <c r="F21" s="4">
        <v>1</v>
      </c>
      <c r="G21" s="22" t="s">
        <v>249</v>
      </c>
    </row>
    <row r="22" spans="1:7" ht="63.75">
      <c r="A22" s="1">
        <v>2</v>
      </c>
      <c r="B22" s="19" t="s">
        <v>1048</v>
      </c>
      <c r="C22" s="2" t="s">
        <v>1049</v>
      </c>
      <c r="D22" s="17" t="s">
        <v>460</v>
      </c>
      <c r="F22" s="4">
        <v>1</v>
      </c>
      <c r="G22" s="22" t="s">
        <v>250</v>
      </c>
    </row>
    <row r="23" spans="1:7" ht="63.75">
      <c r="A23" s="1">
        <v>1</v>
      </c>
      <c r="B23" s="19" t="s">
        <v>1048</v>
      </c>
      <c r="C23" s="2" t="s">
        <v>1049</v>
      </c>
      <c r="D23" s="2" t="s">
        <v>424</v>
      </c>
      <c r="F23" s="4">
        <v>1</v>
      </c>
      <c r="G23" s="22" t="s">
        <v>251</v>
      </c>
    </row>
    <row r="24" spans="1:7" ht="63.75">
      <c r="A24" s="1">
        <v>1</v>
      </c>
      <c r="B24" s="19" t="s">
        <v>1048</v>
      </c>
      <c r="C24" s="2" t="s">
        <v>1049</v>
      </c>
      <c r="D24" s="2" t="s">
        <v>425</v>
      </c>
      <c r="F24" s="4">
        <v>1</v>
      </c>
      <c r="G24" s="22" t="s">
        <v>252</v>
      </c>
    </row>
    <row r="25" spans="1:7" ht="63.75">
      <c r="A25" s="1">
        <v>1</v>
      </c>
      <c r="B25" s="19" t="s">
        <v>1048</v>
      </c>
      <c r="C25" s="2" t="s">
        <v>1049</v>
      </c>
      <c r="D25" s="17" t="s">
        <v>426</v>
      </c>
      <c r="F25" s="4">
        <v>2</v>
      </c>
      <c r="G25" s="22" t="s">
        <v>247</v>
      </c>
    </row>
    <row r="26" spans="1:7" ht="63.75">
      <c r="A26" s="1">
        <v>1</v>
      </c>
      <c r="B26" s="19" t="s">
        <v>1048</v>
      </c>
      <c r="C26" s="2" t="s">
        <v>1049</v>
      </c>
      <c r="D26" s="2" t="s">
        <v>461</v>
      </c>
      <c r="F26" s="4">
        <v>1</v>
      </c>
      <c r="G26" s="22" t="s">
        <v>253</v>
      </c>
    </row>
    <row r="27" spans="1:7" ht="63.75">
      <c r="A27" s="1">
        <v>1</v>
      </c>
      <c r="B27" s="19" t="s">
        <v>1048</v>
      </c>
      <c r="C27" s="2" t="s">
        <v>1049</v>
      </c>
      <c r="D27" s="17" t="s">
        <v>500</v>
      </c>
      <c r="F27" s="4">
        <v>1</v>
      </c>
      <c r="G27" s="22" t="s">
        <v>254</v>
      </c>
    </row>
    <row r="28" spans="1:7" ht="102">
      <c r="B28" s="19" t="s">
        <v>1048</v>
      </c>
      <c r="C28" s="2" t="s">
        <v>1050</v>
      </c>
      <c r="G28" s="22"/>
    </row>
    <row r="29" spans="1:7" ht="76.5">
      <c r="A29" s="1">
        <v>1</v>
      </c>
      <c r="B29" s="19" t="s">
        <v>1048</v>
      </c>
      <c r="C29" s="2" t="s">
        <v>1051</v>
      </c>
      <c r="D29" s="17" t="s">
        <v>435</v>
      </c>
      <c r="F29" s="4">
        <v>2</v>
      </c>
      <c r="G29" s="22" t="s">
        <v>235</v>
      </c>
    </row>
    <row r="30" spans="1:7" ht="76.5">
      <c r="A30" s="1">
        <v>3</v>
      </c>
      <c r="B30" s="19" t="s">
        <v>1048</v>
      </c>
      <c r="C30" s="2" t="s">
        <v>1051</v>
      </c>
      <c r="D30" s="17" t="s">
        <v>435</v>
      </c>
      <c r="F30" s="4">
        <v>2</v>
      </c>
      <c r="G30" s="22" t="s">
        <v>235</v>
      </c>
    </row>
    <row r="31" spans="1:7" ht="76.5">
      <c r="A31" s="1">
        <v>2</v>
      </c>
      <c r="B31" s="19" t="s">
        <v>1048</v>
      </c>
      <c r="C31" s="2" t="s">
        <v>1051</v>
      </c>
      <c r="D31" s="17" t="s">
        <v>436</v>
      </c>
      <c r="F31" s="4">
        <v>3</v>
      </c>
      <c r="G31" s="22" t="s">
        <v>236</v>
      </c>
    </row>
    <row r="32" spans="1:7" ht="76.5">
      <c r="A32" s="1">
        <v>5</v>
      </c>
      <c r="B32" s="19" t="s">
        <v>1048</v>
      </c>
      <c r="C32" s="2" t="s">
        <v>1051</v>
      </c>
      <c r="D32" s="17" t="s">
        <v>436</v>
      </c>
      <c r="F32" s="4">
        <v>3</v>
      </c>
      <c r="G32" s="22" t="s">
        <v>236</v>
      </c>
    </row>
    <row r="33" spans="1:7" ht="76.5">
      <c r="A33" s="1">
        <v>5</v>
      </c>
      <c r="B33" s="19" t="s">
        <v>1048</v>
      </c>
      <c r="C33" s="2" t="s">
        <v>1051</v>
      </c>
      <c r="D33" s="2" t="s">
        <v>437</v>
      </c>
      <c r="F33" s="4">
        <v>2</v>
      </c>
      <c r="G33" s="22" t="s">
        <v>255</v>
      </c>
    </row>
    <row r="34" spans="1:7" ht="76.5">
      <c r="A34" s="1">
        <v>2</v>
      </c>
      <c r="B34" s="19" t="s">
        <v>1048</v>
      </c>
      <c r="C34" s="2" t="s">
        <v>1052</v>
      </c>
      <c r="D34" s="2" t="s">
        <v>438</v>
      </c>
      <c r="F34" s="4">
        <v>3</v>
      </c>
      <c r="G34" s="22" t="s">
        <v>256</v>
      </c>
    </row>
    <row r="35" spans="1:7" ht="76.5">
      <c r="A35" s="1">
        <v>1</v>
      </c>
      <c r="B35" s="19" t="s">
        <v>1048</v>
      </c>
      <c r="C35" s="2" t="s">
        <v>1052</v>
      </c>
      <c r="D35" s="2" t="s">
        <v>439</v>
      </c>
      <c r="F35" s="4">
        <v>2</v>
      </c>
      <c r="G35" s="22" t="s">
        <v>237</v>
      </c>
    </row>
    <row r="36" spans="1:7" ht="76.5">
      <c r="A36" s="1">
        <v>2</v>
      </c>
      <c r="B36" s="19" t="s">
        <v>1048</v>
      </c>
      <c r="C36" s="2" t="s">
        <v>1052</v>
      </c>
      <c r="D36" s="2" t="s">
        <v>439</v>
      </c>
      <c r="F36" s="4">
        <v>2</v>
      </c>
      <c r="G36" s="22" t="s">
        <v>237</v>
      </c>
    </row>
    <row r="37" spans="1:7" ht="76.5">
      <c r="A37" s="1">
        <v>5</v>
      </c>
      <c r="B37" s="19" t="s">
        <v>1048</v>
      </c>
      <c r="C37" s="2" t="s">
        <v>1052</v>
      </c>
      <c r="D37" s="2" t="s">
        <v>439</v>
      </c>
      <c r="F37" s="4">
        <v>2</v>
      </c>
      <c r="G37" s="22" t="s">
        <v>237</v>
      </c>
    </row>
    <row r="38" spans="1:7" ht="76.5">
      <c r="B38" s="19" t="s">
        <v>1048</v>
      </c>
      <c r="C38" s="2" t="s">
        <v>1052</v>
      </c>
      <c r="D38" s="17" t="s">
        <v>501</v>
      </c>
      <c r="F38" s="4">
        <v>1</v>
      </c>
      <c r="G38" s="22"/>
    </row>
    <row r="39" spans="1:7" ht="76.5">
      <c r="A39" s="1">
        <v>2</v>
      </c>
      <c r="B39" s="19" t="s">
        <v>1048</v>
      </c>
      <c r="C39" s="2" t="s">
        <v>1052</v>
      </c>
      <c r="D39" s="17" t="s">
        <v>440</v>
      </c>
      <c r="F39" s="4">
        <v>1</v>
      </c>
      <c r="G39" s="22" t="s">
        <v>238</v>
      </c>
    </row>
    <row r="40" spans="1:7" ht="76.5">
      <c r="A40" s="1">
        <v>5</v>
      </c>
      <c r="B40" s="19" t="s">
        <v>1048</v>
      </c>
      <c r="C40" s="2" t="s">
        <v>1052</v>
      </c>
      <c r="D40" s="17" t="s">
        <v>440</v>
      </c>
      <c r="F40" s="4">
        <v>1</v>
      </c>
      <c r="G40" s="22" t="s">
        <v>238</v>
      </c>
    </row>
    <row r="41" spans="1:7" ht="140.25">
      <c r="A41" s="1">
        <v>1</v>
      </c>
      <c r="B41" s="19" t="s">
        <v>1048</v>
      </c>
      <c r="C41" s="2" t="s">
        <v>1053</v>
      </c>
      <c r="D41" s="2" t="s">
        <v>441</v>
      </c>
      <c r="F41" s="4">
        <v>3</v>
      </c>
      <c r="G41" s="22" t="s">
        <v>239</v>
      </c>
    </row>
    <row r="42" spans="1:7" ht="140.25">
      <c r="A42" s="1">
        <v>2</v>
      </c>
      <c r="B42" s="19" t="s">
        <v>1048</v>
      </c>
      <c r="C42" s="2" t="s">
        <v>1053</v>
      </c>
      <c r="D42" s="2" t="s">
        <v>441</v>
      </c>
      <c r="F42" s="4">
        <v>3</v>
      </c>
      <c r="G42" s="22" t="s">
        <v>239</v>
      </c>
    </row>
    <row r="43" spans="1:7" ht="140.25">
      <c r="A43" s="1">
        <v>3</v>
      </c>
      <c r="B43" s="19" t="s">
        <v>1048</v>
      </c>
      <c r="C43" s="2" t="s">
        <v>1053</v>
      </c>
      <c r="D43" s="2" t="s">
        <v>441</v>
      </c>
      <c r="F43" s="4">
        <v>3</v>
      </c>
      <c r="G43" s="22" t="s">
        <v>239</v>
      </c>
    </row>
    <row r="44" spans="1:7" ht="140.25">
      <c r="A44" s="1">
        <v>4</v>
      </c>
      <c r="B44" s="19" t="s">
        <v>1048</v>
      </c>
      <c r="C44" s="2" t="s">
        <v>1053</v>
      </c>
      <c r="D44" s="2" t="s">
        <v>441</v>
      </c>
      <c r="F44" s="4">
        <v>3</v>
      </c>
      <c r="G44" s="22" t="s">
        <v>239</v>
      </c>
    </row>
    <row r="45" spans="1:7" ht="140.25">
      <c r="A45" s="1">
        <v>5</v>
      </c>
      <c r="B45" s="19" t="s">
        <v>1048</v>
      </c>
      <c r="C45" s="2" t="s">
        <v>1053</v>
      </c>
      <c r="D45" s="2" t="s">
        <v>441</v>
      </c>
      <c r="F45" s="4">
        <v>3</v>
      </c>
      <c r="G45" s="22" t="s">
        <v>239</v>
      </c>
    </row>
    <row r="46" spans="1:7" ht="140.25">
      <c r="A46" s="1">
        <v>6</v>
      </c>
      <c r="B46" s="19" t="s">
        <v>1048</v>
      </c>
      <c r="C46" s="2" t="s">
        <v>1053</v>
      </c>
      <c r="D46" s="2" t="s">
        <v>441</v>
      </c>
      <c r="F46" s="4">
        <v>3</v>
      </c>
      <c r="G46" s="22" t="s">
        <v>239</v>
      </c>
    </row>
    <row r="47" spans="1:7" ht="140.25">
      <c r="A47" s="1">
        <v>1</v>
      </c>
      <c r="B47" s="19" t="s">
        <v>1048</v>
      </c>
      <c r="C47" s="2" t="s">
        <v>1053</v>
      </c>
      <c r="D47" s="17" t="s">
        <v>240</v>
      </c>
      <c r="F47" s="4">
        <v>3</v>
      </c>
      <c r="G47" s="22" t="s">
        <v>241</v>
      </c>
    </row>
    <row r="48" spans="1:7" ht="140.25">
      <c r="A48" s="1">
        <v>1</v>
      </c>
      <c r="B48" s="19" t="s">
        <v>1048</v>
      </c>
      <c r="C48" s="2" t="s">
        <v>1053</v>
      </c>
      <c r="D48" s="17" t="s">
        <v>442</v>
      </c>
      <c r="F48" s="4">
        <v>1</v>
      </c>
      <c r="G48" s="22" t="s">
        <v>242</v>
      </c>
    </row>
    <row r="49" spans="1:7" ht="140.25">
      <c r="A49" s="1">
        <v>2</v>
      </c>
      <c r="B49" s="19" t="s">
        <v>1048</v>
      </c>
      <c r="C49" s="2" t="s">
        <v>1053</v>
      </c>
      <c r="D49" s="17" t="s">
        <v>442</v>
      </c>
      <c r="F49" s="4">
        <v>1</v>
      </c>
      <c r="G49" s="22" t="s">
        <v>242</v>
      </c>
    </row>
    <row r="50" spans="1:7" ht="140.25">
      <c r="B50" s="19" t="s">
        <v>1048</v>
      </c>
      <c r="C50" s="2" t="s">
        <v>1053</v>
      </c>
      <c r="D50" s="2" t="s">
        <v>443</v>
      </c>
      <c r="F50" s="4">
        <v>3</v>
      </c>
      <c r="G50" s="22"/>
    </row>
    <row r="51" spans="1:7" ht="140.25">
      <c r="A51" s="1">
        <v>1</v>
      </c>
      <c r="B51" s="19" t="s">
        <v>1048</v>
      </c>
      <c r="C51" s="2" t="s">
        <v>1053</v>
      </c>
      <c r="D51" s="17" t="s">
        <v>444</v>
      </c>
      <c r="F51" s="4">
        <v>1</v>
      </c>
      <c r="G51" s="22" t="s">
        <v>257</v>
      </c>
    </row>
    <row r="52" spans="1:7" ht="140.25">
      <c r="A52" s="1">
        <v>1</v>
      </c>
      <c r="B52" s="19" t="s">
        <v>1048</v>
      </c>
      <c r="C52" s="2" t="s">
        <v>1053</v>
      </c>
      <c r="D52" s="17" t="s">
        <v>445</v>
      </c>
      <c r="F52" s="4">
        <v>1</v>
      </c>
      <c r="G52" s="29" t="s">
        <v>285</v>
      </c>
    </row>
    <row r="53" spans="1:7" ht="140.25">
      <c r="A53" s="1">
        <v>2</v>
      </c>
      <c r="B53" s="19" t="s">
        <v>1048</v>
      </c>
      <c r="C53" s="2" t="s">
        <v>1053</v>
      </c>
      <c r="D53" s="17" t="s">
        <v>446</v>
      </c>
      <c r="F53" s="4">
        <v>1</v>
      </c>
      <c r="G53" s="22" t="s">
        <v>258</v>
      </c>
    </row>
    <row r="54" spans="1:7" ht="140.25">
      <c r="B54" s="19" t="s">
        <v>1048</v>
      </c>
      <c r="C54" s="2" t="s">
        <v>1053</v>
      </c>
      <c r="D54" s="17" t="s">
        <v>447</v>
      </c>
      <c r="F54" s="4">
        <v>1</v>
      </c>
      <c r="G54" s="22"/>
    </row>
    <row r="55" spans="1:7" ht="140.25">
      <c r="B55" s="19" t="s">
        <v>1048</v>
      </c>
      <c r="C55" s="2" t="s">
        <v>1053</v>
      </c>
      <c r="D55" s="17" t="s">
        <v>448</v>
      </c>
      <c r="F55" s="4">
        <v>1</v>
      </c>
      <c r="G55" s="22"/>
    </row>
    <row r="56" spans="1:7" ht="140.25">
      <c r="A56" s="1">
        <v>1</v>
      </c>
      <c r="B56" s="19" t="s">
        <v>1048</v>
      </c>
      <c r="C56" s="2" t="s">
        <v>1053</v>
      </c>
      <c r="D56" s="17" t="s">
        <v>449</v>
      </c>
      <c r="F56" s="4">
        <v>3</v>
      </c>
      <c r="G56" s="22" t="s">
        <v>259</v>
      </c>
    </row>
    <row r="57" spans="1:7" ht="140.25">
      <c r="A57" s="1">
        <v>1</v>
      </c>
      <c r="B57" s="19" t="s">
        <v>1048</v>
      </c>
      <c r="C57" s="2" t="s">
        <v>1053</v>
      </c>
      <c r="D57" s="2" t="s">
        <v>455</v>
      </c>
      <c r="F57" s="4">
        <v>1</v>
      </c>
      <c r="G57" s="22" t="s">
        <v>260</v>
      </c>
    </row>
    <row r="58" spans="1:7" ht="140.25">
      <c r="A58" s="1">
        <v>2</v>
      </c>
      <c r="B58" s="19" t="s">
        <v>1048</v>
      </c>
      <c r="C58" s="2" t="s">
        <v>1053</v>
      </c>
      <c r="D58" s="17" t="s">
        <v>450</v>
      </c>
      <c r="F58" s="4">
        <v>3</v>
      </c>
      <c r="G58" s="22" t="s">
        <v>256</v>
      </c>
    </row>
    <row r="59" spans="1:7" ht="140.25">
      <c r="A59" s="1">
        <v>2</v>
      </c>
      <c r="B59" s="19" t="s">
        <v>1048</v>
      </c>
      <c r="C59" s="2" t="s">
        <v>1053</v>
      </c>
      <c r="D59" s="2" t="s">
        <v>451</v>
      </c>
      <c r="F59" s="4">
        <v>3</v>
      </c>
      <c r="G59" s="22" t="s">
        <v>250</v>
      </c>
    </row>
    <row r="60" spans="1:7" ht="140.25">
      <c r="B60" s="19" t="s">
        <v>1048</v>
      </c>
      <c r="C60" s="2" t="s">
        <v>1053</v>
      </c>
      <c r="D60" s="2" t="s">
        <v>452</v>
      </c>
      <c r="F60" s="4">
        <v>1</v>
      </c>
      <c r="G60" s="22"/>
    </row>
    <row r="61" spans="1:7" ht="63.75">
      <c r="B61" s="19" t="s">
        <v>1048</v>
      </c>
      <c r="C61" s="2" t="s">
        <v>1054</v>
      </c>
      <c r="D61" s="17" t="s">
        <v>453</v>
      </c>
      <c r="F61" s="4">
        <v>1</v>
      </c>
      <c r="G61" s="22"/>
    </row>
    <row r="62" spans="1:7" ht="63.75">
      <c r="B62" s="19" t="s">
        <v>1048</v>
      </c>
      <c r="C62" s="2" t="s">
        <v>1054</v>
      </c>
      <c r="D62" s="17" t="s">
        <v>448</v>
      </c>
      <c r="F62" s="4">
        <v>1</v>
      </c>
      <c r="G62" s="22"/>
    </row>
    <row r="63" spans="1:7" ht="76.5">
      <c r="A63" s="1">
        <v>2</v>
      </c>
      <c r="B63" s="19" t="s">
        <v>1048</v>
      </c>
      <c r="C63" s="2" t="s">
        <v>1055</v>
      </c>
      <c r="D63" s="2" t="s">
        <v>505</v>
      </c>
      <c r="F63" s="4">
        <v>3</v>
      </c>
      <c r="G63" s="22" t="s">
        <v>261</v>
      </c>
    </row>
    <row r="64" spans="1:7" ht="76.5">
      <c r="A64" s="1">
        <v>2</v>
      </c>
      <c r="B64" s="19" t="s">
        <v>1048</v>
      </c>
      <c r="C64" s="2" t="s">
        <v>1055</v>
      </c>
      <c r="D64" s="17" t="s">
        <v>446</v>
      </c>
      <c r="F64" s="4">
        <v>3</v>
      </c>
      <c r="G64" s="22" t="s">
        <v>258</v>
      </c>
    </row>
    <row r="65" spans="1:7" ht="76.5">
      <c r="A65" s="1">
        <v>2</v>
      </c>
      <c r="B65" s="19" t="s">
        <v>1048</v>
      </c>
      <c r="C65" s="2" t="s">
        <v>1055</v>
      </c>
      <c r="D65" s="2" t="s">
        <v>423</v>
      </c>
      <c r="F65" s="4">
        <v>3</v>
      </c>
      <c r="G65" s="22" t="s">
        <v>249</v>
      </c>
    </row>
    <row r="66" spans="1:7" ht="140.25">
      <c r="A66" s="1">
        <v>1</v>
      </c>
      <c r="B66" s="19" t="s">
        <v>1048</v>
      </c>
      <c r="C66" s="2" t="s">
        <v>1056</v>
      </c>
      <c r="D66" s="2" t="s">
        <v>454</v>
      </c>
      <c r="F66" s="4">
        <v>2</v>
      </c>
      <c r="G66" s="22" t="s">
        <v>243</v>
      </c>
    </row>
    <row r="67" spans="1:7" ht="140.25">
      <c r="A67" s="1">
        <v>2</v>
      </c>
      <c r="B67" s="19" t="s">
        <v>1048</v>
      </c>
      <c r="C67" s="2" t="s">
        <v>1056</v>
      </c>
      <c r="D67" s="2" t="s">
        <v>454</v>
      </c>
      <c r="F67" s="4">
        <v>2</v>
      </c>
      <c r="G67" s="22" t="s">
        <v>243</v>
      </c>
    </row>
    <row r="68" spans="1:7" ht="140.25">
      <c r="A68" s="1">
        <v>1</v>
      </c>
      <c r="B68" s="19" t="s">
        <v>1048</v>
      </c>
      <c r="C68" s="2" t="s">
        <v>1056</v>
      </c>
      <c r="D68" s="2" t="s">
        <v>455</v>
      </c>
      <c r="F68" s="4">
        <v>2</v>
      </c>
      <c r="G68" s="22" t="s">
        <v>260</v>
      </c>
    </row>
    <row r="69" spans="1:7" ht="140.25">
      <c r="A69" s="1">
        <v>1</v>
      </c>
      <c r="B69" s="19" t="s">
        <v>1048</v>
      </c>
      <c r="C69" s="2" t="s">
        <v>1056</v>
      </c>
      <c r="D69" s="2" t="s">
        <v>439</v>
      </c>
      <c r="F69" s="4">
        <v>2</v>
      </c>
      <c r="G69" s="22" t="s">
        <v>237</v>
      </c>
    </row>
    <row r="70" spans="1:7" ht="140.25">
      <c r="A70" s="1">
        <v>2</v>
      </c>
      <c r="B70" s="19" t="s">
        <v>1048</v>
      </c>
      <c r="C70" s="2" t="s">
        <v>1056</v>
      </c>
      <c r="D70" s="2" t="s">
        <v>439</v>
      </c>
      <c r="F70" s="4">
        <v>2</v>
      </c>
      <c r="G70" s="22" t="s">
        <v>237</v>
      </c>
    </row>
    <row r="71" spans="1:7" ht="140.25">
      <c r="A71" s="1">
        <v>5</v>
      </c>
      <c r="B71" s="19" t="s">
        <v>1048</v>
      </c>
      <c r="C71" s="2" t="s">
        <v>1056</v>
      </c>
      <c r="D71" s="2" t="s">
        <v>439</v>
      </c>
      <c r="F71" s="4">
        <v>2</v>
      </c>
      <c r="G71" s="22" t="s">
        <v>237</v>
      </c>
    </row>
    <row r="72" spans="1:7" ht="140.25">
      <c r="A72" s="1">
        <v>1</v>
      </c>
      <c r="B72" s="19" t="s">
        <v>1048</v>
      </c>
      <c r="C72" s="2" t="s">
        <v>1056</v>
      </c>
      <c r="D72" s="17" t="s">
        <v>435</v>
      </c>
      <c r="F72" s="4">
        <v>3</v>
      </c>
      <c r="G72" s="22" t="s">
        <v>235</v>
      </c>
    </row>
    <row r="73" spans="1:7" ht="140.25">
      <c r="A73" s="1">
        <v>3</v>
      </c>
      <c r="B73" s="19" t="s">
        <v>1048</v>
      </c>
      <c r="C73" s="2" t="s">
        <v>1056</v>
      </c>
      <c r="D73" s="17" t="s">
        <v>435</v>
      </c>
      <c r="F73" s="4">
        <v>3</v>
      </c>
      <c r="G73" s="22" t="s">
        <v>235</v>
      </c>
    </row>
    <row r="74" spans="1:7" ht="140.25">
      <c r="A74" s="1">
        <v>2</v>
      </c>
      <c r="B74" s="19" t="s">
        <v>1048</v>
      </c>
      <c r="C74" s="2" t="s">
        <v>1056</v>
      </c>
      <c r="D74" s="17" t="s">
        <v>502</v>
      </c>
      <c r="F74" s="4">
        <v>2</v>
      </c>
      <c r="G74" s="22" t="s">
        <v>262</v>
      </c>
    </row>
    <row r="75" spans="1:7" ht="140.25">
      <c r="A75" s="1">
        <v>1</v>
      </c>
      <c r="B75" s="19" t="s">
        <v>1048</v>
      </c>
      <c r="C75" s="2" t="s">
        <v>1056</v>
      </c>
      <c r="D75" s="17" t="s">
        <v>456</v>
      </c>
      <c r="F75" s="4">
        <v>3</v>
      </c>
      <c r="G75" s="22" t="s">
        <v>244</v>
      </c>
    </row>
    <row r="76" spans="1:7" ht="140.25">
      <c r="A76" s="1">
        <v>4</v>
      </c>
      <c r="B76" s="19" t="s">
        <v>1048</v>
      </c>
      <c r="C76" s="2" t="s">
        <v>1056</v>
      </c>
      <c r="D76" s="17" t="s">
        <v>456</v>
      </c>
      <c r="F76" s="4">
        <v>3</v>
      </c>
      <c r="G76" s="22" t="s">
        <v>244</v>
      </c>
    </row>
    <row r="77" spans="1:7" ht="89.25">
      <c r="A77" s="1">
        <v>1</v>
      </c>
      <c r="B77" s="19" t="s">
        <v>1048</v>
      </c>
      <c r="C77" s="2" t="s">
        <v>1057</v>
      </c>
      <c r="D77" s="17" t="s">
        <v>449</v>
      </c>
      <c r="F77" s="4">
        <v>2</v>
      </c>
      <c r="G77" s="22" t="s">
        <v>259</v>
      </c>
    </row>
    <row r="78" spans="1:7" ht="89.25">
      <c r="A78" s="1">
        <v>1</v>
      </c>
      <c r="B78" s="19" t="s">
        <v>1048</v>
      </c>
      <c r="C78" s="2" t="s">
        <v>1057</v>
      </c>
      <c r="D78" s="2" t="s">
        <v>457</v>
      </c>
      <c r="F78" s="4">
        <v>2</v>
      </c>
      <c r="G78" s="22" t="s">
        <v>259</v>
      </c>
    </row>
    <row r="79" spans="1:7" ht="51">
      <c r="A79" s="1">
        <v>1</v>
      </c>
      <c r="B79" s="4" t="s">
        <v>937</v>
      </c>
      <c r="C79" s="2" t="s">
        <v>1058</v>
      </c>
      <c r="D79" s="2" t="s">
        <v>458</v>
      </c>
      <c r="F79" s="4">
        <v>2</v>
      </c>
      <c r="G79" s="22" t="s">
        <v>251</v>
      </c>
    </row>
    <row r="80" spans="1:7" ht="51">
      <c r="A80" s="1">
        <v>1</v>
      </c>
      <c r="B80" s="4" t="s">
        <v>937</v>
      </c>
      <c r="C80" s="2" t="s">
        <v>992</v>
      </c>
      <c r="D80" s="17" t="s">
        <v>459</v>
      </c>
      <c r="F80" s="4">
        <v>1</v>
      </c>
      <c r="G80" s="22" t="s">
        <v>251</v>
      </c>
    </row>
    <row r="81" spans="1:7" ht="51">
      <c r="A81" s="1">
        <v>1</v>
      </c>
      <c r="B81" s="4" t="s">
        <v>937</v>
      </c>
      <c r="C81" s="2" t="s">
        <v>993</v>
      </c>
      <c r="D81" s="17" t="s">
        <v>460</v>
      </c>
      <c r="F81" s="4">
        <v>1</v>
      </c>
      <c r="G81" s="22" t="s">
        <v>245</v>
      </c>
    </row>
    <row r="82" spans="1:7" ht="51">
      <c r="A82" s="1">
        <v>5</v>
      </c>
      <c r="B82" s="4" t="s">
        <v>937</v>
      </c>
      <c r="C82" s="2" t="s">
        <v>993</v>
      </c>
      <c r="D82" s="17" t="s">
        <v>460</v>
      </c>
      <c r="F82" s="4">
        <v>1</v>
      </c>
      <c r="G82" s="22" t="s">
        <v>245</v>
      </c>
    </row>
    <row r="83" spans="1:7" ht="51">
      <c r="A83" s="1">
        <v>1</v>
      </c>
      <c r="B83" s="4" t="s">
        <v>937</v>
      </c>
      <c r="C83" s="2" t="s">
        <v>1155</v>
      </c>
      <c r="D83" s="2" t="s">
        <v>424</v>
      </c>
      <c r="F83" s="4">
        <v>1</v>
      </c>
      <c r="G83" s="22" t="s">
        <v>251</v>
      </c>
    </row>
    <row r="84" spans="1:7" ht="51">
      <c r="A84" s="1">
        <v>1</v>
      </c>
      <c r="B84" s="4" t="s">
        <v>937</v>
      </c>
      <c r="C84" s="2" t="s">
        <v>1156</v>
      </c>
      <c r="D84" s="2" t="s">
        <v>461</v>
      </c>
      <c r="F84" s="4">
        <v>1</v>
      </c>
      <c r="G84" s="22" t="s">
        <v>253</v>
      </c>
    </row>
    <row r="85" spans="1:7" ht="51">
      <c r="A85" s="1">
        <v>1</v>
      </c>
      <c r="B85" s="4" t="s">
        <v>937</v>
      </c>
      <c r="C85" s="2" t="s">
        <v>1157</v>
      </c>
      <c r="D85" s="17" t="s">
        <v>460</v>
      </c>
      <c r="F85" s="4">
        <v>1</v>
      </c>
      <c r="G85" s="22" t="s">
        <v>245</v>
      </c>
    </row>
    <row r="86" spans="1:7" ht="51">
      <c r="A86" s="1">
        <v>5</v>
      </c>
      <c r="B86" s="4" t="s">
        <v>937</v>
      </c>
      <c r="C86" s="2" t="s">
        <v>1157</v>
      </c>
      <c r="D86" s="17" t="s">
        <v>460</v>
      </c>
      <c r="F86" s="4">
        <v>1</v>
      </c>
      <c r="G86" s="22" t="s">
        <v>245</v>
      </c>
    </row>
    <row r="87" spans="1:7" ht="51">
      <c r="A87" s="1">
        <v>1</v>
      </c>
      <c r="B87" s="4" t="s">
        <v>937</v>
      </c>
      <c r="C87" s="2" t="s">
        <v>1158</v>
      </c>
      <c r="D87" s="17" t="s">
        <v>462</v>
      </c>
      <c r="F87" s="4">
        <v>1</v>
      </c>
      <c r="G87" s="22" t="s">
        <v>263</v>
      </c>
    </row>
    <row r="88" spans="1:7" ht="76.5">
      <c r="B88" s="4" t="s">
        <v>937</v>
      </c>
      <c r="C88" s="2" t="s">
        <v>1059</v>
      </c>
      <c r="G88" s="22"/>
    </row>
    <row r="89" spans="1:7" ht="76.5">
      <c r="A89" s="1">
        <v>2</v>
      </c>
      <c r="B89" s="4" t="s">
        <v>937</v>
      </c>
      <c r="C89" s="2" t="s">
        <v>1060</v>
      </c>
      <c r="D89" s="2" t="s">
        <v>423</v>
      </c>
      <c r="F89" s="4">
        <v>3</v>
      </c>
      <c r="G89" s="22" t="s">
        <v>249</v>
      </c>
    </row>
    <row r="90" spans="1:7" ht="76.5">
      <c r="A90" s="1">
        <v>2</v>
      </c>
      <c r="B90" s="4" t="s">
        <v>937</v>
      </c>
      <c r="C90" s="2" t="s">
        <v>1060</v>
      </c>
      <c r="D90" s="17" t="s">
        <v>463</v>
      </c>
      <c r="F90" s="4">
        <v>1</v>
      </c>
      <c r="G90" s="22" t="s">
        <v>264</v>
      </c>
    </row>
    <row r="91" spans="1:7" ht="76.5">
      <c r="A91" s="1">
        <v>5</v>
      </c>
      <c r="B91" s="4" t="s">
        <v>937</v>
      </c>
      <c r="C91" s="2" t="s">
        <v>1060</v>
      </c>
      <c r="D91" s="2" t="s">
        <v>437</v>
      </c>
      <c r="F91" s="4">
        <v>3</v>
      </c>
      <c r="G91" s="22" t="s">
        <v>255</v>
      </c>
    </row>
    <row r="92" spans="1:7" ht="76.5">
      <c r="A92" s="1">
        <v>1</v>
      </c>
      <c r="B92" s="4" t="s">
        <v>937</v>
      </c>
      <c r="C92" s="2" t="s">
        <v>1060</v>
      </c>
      <c r="D92" s="17" t="s">
        <v>435</v>
      </c>
      <c r="F92" s="4">
        <v>1</v>
      </c>
      <c r="G92" s="22" t="s">
        <v>235</v>
      </c>
    </row>
    <row r="93" spans="1:7" ht="76.5">
      <c r="A93" s="1">
        <v>3</v>
      </c>
      <c r="B93" s="4" t="s">
        <v>937</v>
      </c>
      <c r="C93" s="2" t="s">
        <v>1060</v>
      </c>
      <c r="D93" s="17" t="s">
        <v>435</v>
      </c>
      <c r="F93" s="4">
        <v>1</v>
      </c>
      <c r="G93" s="22" t="s">
        <v>235</v>
      </c>
    </row>
    <row r="94" spans="1:7" ht="76.5">
      <c r="A94" s="1">
        <v>2</v>
      </c>
      <c r="B94" s="4" t="s">
        <v>937</v>
      </c>
      <c r="C94" s="2" t="s">
        <v>1060</v>
      </c>
      <c r="D94" s="17" t="s">
        <v>440</v>
      </c>
      <c r="G94" s="22" t="s">
        <v>238</v>
      </c>
    </row>
    <row r="95" spans="1:7" ht="76.5">
      <c r="A95" s="1">
        <v>5</v>
      </c>
      <c r="B95" s="4" t="s">
        <v>937</v>
      </c>
      <c r="C95" s="2" t="s">
        <v>1060</v>
      </c>
      <c r="D95" s="17" t="s">
        <v>440</v>
      </c>
      <c r="G95" s="22" t="s">
        <v>238</v>
      </c>
    </row>
    <row r="96" spans="1:7" ht="76.5">
      <c r="A96" s="1">
        <v>1</v>
      </c>
      <c r="B96" s="4" t="s">
        <v>937</v>
      </c>
      <c r="C96" s="2" t="s">
        <v>1060</v>
      </c>
      <c r="D96" s="2" t="s">
        <v>455</v>
      </c>
      <c r="F96" s="4">
        <v>2</v>
      </c>
      <c r="G96" s="22" t="s">
        <v>260</v>
      </c>
    </row>
    <row r="97" spans="1:7" ht="76.5">
      <c r="A97" s="1">
        <v>1</v>
      </c>
      <c r="B97" s="4" t="s">
        <v>938</v>
      </c>
      <c r="C97" s="2" t="s">
        <v>1061</v>
      </c>
      <c r="D97" s="2" t="s">
        <v>464</v>
      </c>
      <c r="G97" s="22" t="s">
        <v>1300</v>
      </c>
    </row>
    <row r="98" spans="1:7" ht="76.5">
      <c r="A98" s="1">
        <v>2</v>
      </c>
      <c r="B98" s="4" t="s">
        <v>938</v>
      </c>
      <c r="C98" s="2" t="s">
        <v>1061</v>
      </c>
      <c r="D98" s="2" t="s">
        <v>464</v>
      </c>
      <c r="G98" s="22" t="s">
        <v>1300</v>
      </c>
    </row>
    <row r="99" spans="1:7" ht="76.5">
      <c r="A99" s="1">
        <v>3</v>
      </c>
      <c r="B99" s="4" t="s">
        <v>938</v>
      </c>
      <c r="C99" s="2" t="s">
        <v>1061</v>
      </c>
      <c r="D99" s="2" t="s">
        <v>464</v>
      </c>
      <c r="G99" s="22" t="s">
        <v>1300</v>
      </c>
    </row>
    <row r="100" spans="1:7" ht="76.5">
      <c r="A100" s="1">
        <v>4</v>
      </c>
      <c r="B100" s="4" t="s">
        <v>938</v>
      </c>
      <c r="C100" s="2" t="s">
        <v>1061</v>
      </c>
      <c r="D100" s="2" t="s">
        <v>464</v>
      </c>
      <c r="G100" s="22" t="s">
        <v>1300</v>
      </c>
    </row>
    <row r="101" spans="1:7" ht="76.5">
      <c r="A101" s="1">
        <v>5</v>
      </c>
      <c r="B101" s="4" t="s">
        <v>938</v>
      </c>
      <c r="C101" s="2" t="s">
        <v>1061</v>
      </c>
      <c r="D101" s="2" t="s">
        <v>464</v>
      </c>
      <c r="G101" s="22" t="s">
        <v>1300</v>
      </c>
    </row>
    <row r="102" spans="1:7" ht="76.5">
      <c r="A102" s="1">
        <v>6</v>
      </c>
      <c r="B102" s="4" t="s">
        <v>938</v>
      </c>
      <c r="C102" s="2" t="s">
        <v>1061</v>
      </c>
      <c r="D102" s="2" t="s">
        <v>464</v>
      </c>
      <c r="G102" s="22" t="s">
        <v>1300</v>
      </c>
    </row>
    <row r="103" spans="1:7" ht="63.75">
      <c r="B103" s="4" t="s">
        <v>938</v>
      </c>
      <c r="C103" s="2" t="s">
        <v>1062</v>
      </c>
      <c r="G103" s="22"/>
    </row>
    <row r="104" spans="1:7" ht="89.25">
      <c r="B104" s="4" t="s">
        <v>938</v>
      </c>
      <c r="C104" s="2" t="s">
        <v>1063</v>
      </c>
      <c r="G104" s="22"/>
    </row>
    <row r="105" spans="1:7" ht="76.5">
      <c r="B105" s="4" t="s">
        <v>938</v>
      </c>
      <c r="C105" s="2" t="s">
        <v>1064</v>
      </c>
      <c r="G105" s="22"/>
    </row>
    <row r="106" spans="1:7" ht="63.75">
      <c r="A106" s="1">
        <v>3</v>
      </c>
      <c r="B106" s="4" t="s">
        <v>938</v>
      </c>
      <c r="C106" s="2" t="s">
        <v>1065</v>
      </c>
      <c r="D106" s="2" t="s">
        <v>465</v>
      </c>
      <c r="F106" s="4">
        <v>3</v>
      </c>
      <c r="G106" s="22" t="s">
        <v>265</v>
      </c>
    </row>
    <row r="107" spans="1:7" ht="51">
      <c r="A107" s="1">
        <v>3</v>
      </c>
      <c r="B107" s="4" t="s">
        <v>938</v>
      </c>
      <c r="C107" s="2" t="s">
        <v>1066</v>
      </c>
      <c r="D107" s="17" t="s">
        <v>466</v>
      </c>
      <c r="F107" s="4">
        <v>2</v>
      </c>
      <c r="G107" s="22" t="s">
        <v>266</v>
      </c>
    </row>
    <row r="108" spans="1:7" ht="63.75">
      <c r="B108" s="4" t="s">
        <v>938</v>
      </c>
      <c r="C108" s="2" t="s">
        <v>1067</v>
      </c>
      <c r="G108" s="22"/>
    </row>
    <row r="109" spans="1:7" ht="76.5">
      <c r="A109" s="1">
        <v>3</v>
      </c>
      <c r="B109" s="4" t="s">
        <v>938</v>
      </c>
      <c r="C109" s="2" t="s">
        <v>1068</v>
      </c>
      <c r="D109" s="17" t="s">
        <v>467</v>
      </c>
      <c r="F109" s="4">
        <v>1</v>
      </c>
      <c r="G109" s="22" t="s">
        <v>267</v>
      </c>
    </row>
    <row r="110" spans="1:7" ht="76.5">
      <c r="A110" s="1">
        <v>3</v>
      </c>
      <c r="B110" s="4" t="s">
        <v>938</v>
      </c>
      <c r="C110" s="2" t="s">
        <v>1068</v>
      </c>
      <c r="D110" s="17" t="s">
        <v>468</v>
      </c>
      <c r="F110" s="4">
        <v>1</v>
      </c>
      <c r="G110" s="22" t="s">
        <v>267</v>
      </c>
    </row>
    <row r="111" spans="1:7" ht="76.5">
      <c r="A111" s="1">
        <v>3</v>
      </c>
      <c r="B111" s="4" t="s">
        <v>938</v>
      </c>
      <c r="C111" s="2" t="s">
        <v>1068</v>
      </c>
      <c r="D111" s="2" t="s">
        <v>469</v>
      </c>
      <c r="F111" s="4">
        <v>2</v>
      </c>
      <c r="G111" s="22" t="s">
        <v>268</v>
      </c>
    </row>
    <row r="112" spans="1:7" ht="102">
      <c r="A112" s="1">
        <v>3</v>
      </c>
      <c r="B112" s="4" t="s">
        <v>938</v>
      </c>
      <c r="C112" s="2" t="s">
        <v>1069</v>
      </c>
      <c r="D112" s="2" t="s">
        <v>470</v>
      </c>
      <c r="F112" s="4">
        <v>2</v>
      </c>
      <c r="G112" s="22" t="s">
        <v>269</v>
      </c>
    </row>
    <row r="113" spans="1:7" ht="102">
      <c r="A113" s="1">
        <v>3</v>
      </c>
      <c r="B113" s="4" t="s">
        <v>938</v>
      </c>
      <c r="C113" s="2" t="s">
        <v>1069</v>
      </c>
      <c r="D113" s="17" t="s">
        <v>467</v>
      </c>
      <c r="F113" s="4">
        <v>1</v>
      </c>
      <c r="G113" s="22" t="s">
        <v>267</v>
      </c>
    </row>
    <row r="114" spans="1:7" ht="102">
      <c r="A114" s="1">
        <v>3</v>
      </c>
      <c r="B114" s="4" t="s">
        <v>938</v>
      </c>
      <c r="C114" s="2" t="s">
        <v>1069</v>
      </c>
      <c r="D114" s="2" t="s">
        <v>471</v>
      </c>
      <c r="F114" s="4">
        <v>1</v>
      </c>
      <c r="G114" s="22" t="s">
        <v>270</v>
      </c>
    </row>
    <row r="115" spans="1:7" ht="102">
      <c r="A115" s="1">
        <v>3</v>
      </c>
      <c r="B115" s="4" t="s">
        <v>938</v>
      </c>
      <c r="C115" s="2" t="s">
        <v>1069</v>
      </c>
      <c r="D115" s="17" t="s">
        <v>472</v>
      </c>
      <c r="F115" s="4">
        <v>1</v>
      </c>
      <c r="G115" s="22" t="s">
        <v>271</v>
      </c>
    </row>
    <row r="116" spans="1:7" ht="25.5">
      <c r="A116" s="1">
        <v>2</v>
      </c>
      <c r="B116" s="4" t="s">
        <v>939</v>
      </c>
      <c r="C116" s="2" t="s">
        <v>387</v>
      </c>
      <c r="D116" s="2" t="s">
        <v>483</v>
      </c>
      <c r="F116" s="4">
        <v>1</v>
      </c>
      <c r="G116" s="29" t="s">
        <v>286</v>
      </c>
    </row>
    <row r="117" spans="1:7" ht="102">
      <c r="A117" s="1">
        <v>4</v>
      </c>
      <c r="B117" s="4" t="s">
        <v>939</v>
      </c>
      <c r="C117" s="2" t="s">
        <v>1070</v>
      </c>
      <c r="D117" s="2" t="s">
        <v>473</v>
      </c>
      <c r="F117" s="4">
        <v>1</v>
      </c>
      <c r="G117" s="22" t="s">
        <v>272</v>
      </c>
    </row>
    <row r="118" spans="1:7" ht="102">
      <c r="B118" s="4" t="s">
        <v>939</v>
      </c>
      <c r="C118" s="2" t="s">
        <v>1070</v>
      </c>
      <c r="D118" s="2" t="s">
        <v>474</v>
      </c>
      <c r="F118" s="4">
        <v>1</v>
      </c>
      <c r="G118" s="22"/>
    </row>
    <row r="119" spans="1:7" ht="102">
      <c r="A119" s="1">
        <v>4</v>
      </c>
      <c r="B119" s="4" t="s">
        <v>939</v>
      </c>
      <c r="C119" s="2" t="s">
        <v>1070</v>
      </c>
      <c r="D119" s="17" t="s">
        <v>475</v>
      </c>
      <c r="F119" s="4">
        <v>3</v>
      </c>
      <c r="G119" s="22" t="s">
        <v>273</v>
      </c>
    </row>
    <row r="120" spans="1:7" ht="102">
      <c r="A120" s="1">
        <v>4</v>
      </c>
      <c r="B120" s="4" t="s">
        <v>939</v>
      </c>
      <c r="C120" s="2" t="s">
        <v>1070</v>
      </c>
      <c r="D120" s="2" t="s">
        <v>476</v>
      </c>
      <c r="F120" s="4">
        <v>1</v>
      </c>
      <c r="G120" s="22" t="s">
        <v>274</v>
      </c>
    </row>
    <row r="121" spans="1:7" ht="153">
      <c r="B121" s="4" t="s">
        <v>939</v>
      </c>
      <c r="C121" s="2" t="s">
        <v>813</v>
      </c>
      <c r="D121" s="17" t="s">
        <v>477</v>
      </c>
      <c r="F121" s="4">
        <v>3</v>
      </c>
      <c r="G121" s="22"/>
    </row>
    <row r="122" spans="1:7" ht="153">
      <c r="B122" s="4" t="s">
        <v>939</v>
      </c>
      <c r="C122" s="2" t="s">
        <v>813</v>
      </c>
      <c r="D122" s="17" t="s">
        <v>478</v>
      </c>
      <c r="F122" s="4">
        <v>1</v>
      </c>
      <c r="G122" s="22"/>
    </row>
    <row r="123" spans="1:7" ht="153">
      <c r="B123" s="4" t="s">
        <v>939</v>
      </c>
      <c r="C123" s="2" t="s">
        <v>813</v>
      </c>
      <c r="D123" s="2" t="s">
        <v>474</v>
      </c>
      <c r="F123" s="4">
        <v>2</v>
      </c>
      <c r="G123" s="22"/>
    </row>
    <row r="124" spans="1:7" ht="153">
      <c r="B124" s="4" t="s">
        <v>939</v>
      </c>
      <c r="C124" s="2" t="s">
        <v>813</v>
      </c>
      <c r="D124" s="17" t="s">
        <v>479</v>
      </c>
      <c r="F124" s="4">
        <v>3</v>
      </c>
      <c r="G124" s="22"/>
    </row>
    <row r="125" spans="1:7" ht="153">
      <c r="B125" s="4" t="s">
        <v>939</v>
      </c>
      <c r="C125" s="2" t="s">
        <v>813</v>
      </c>
      <c r="D125" s="17" t="s">
        <v>480</v>
      </c>
      <c r="F125" s="4">
        <v>3</v>
      </c>
      <c r="G125" s="22"/>
    </row>
    <row r="126" spans="1:7" ht="153">
      <c r="B126" s="4" t="s">
        <v>939</v>
      </c>
      <c r="C126" s="2" t="s">
        <v>813</v>
      </c>
      <c r="D126" s="17" t="s">
        <v>481</v>
      </c>
      <c r="F126" s="4">
        <v>2</v>
      </c>
      <c r="G126" s="22"/>
    </row>
    <row r="127" spans="1:7" ht="153">
      <c r="B127" s="4" t="s">
        <v>939</v>
      </c>
      <c r="C127" s="2" t="s">
        <v>813</v>
      </c>
      <c r="D127" s="17" t="s">
        <v>482</v>
      </c>
      <c r="F127" s="4">
        <v>3</v>
      </c>
      <c r="G127" s="22"/>
    </row>
    <row r="128" spans="1:7" ht="89.25">
      <c r="A128" s="1">
        <v>1</v>
      </c>
      <c r="B128" s="4" t="s">
        <v>939</v>
      </c>
      <c r="C128" s="2" t="s">
        <v>820</v>
      </c>
      <c r="D128" s="2" t="s">
        <v>484</v>
      </c>
      <c r="F128" s="4">
        <v>2</v>
      </c>
      <c r="G128" s="22" t="s">
        <v>275</v>
      </c>
    </row>
    <row r="129" spans="1:7" ht="89.25">
      <c r="A129" s="1">
        <v>2</v>
      </c>
      <c r="B129" s="4" t="s">
        <v>939</v>
      </c>
      <c r="C129" s="2" t="s">
        <v>820</v>
      </c>
      <c r="D129" s="2" t="s">
        <v>484</v>
      </c>
      <c r="F129" s="4">
        <v>2</v>
      </c>
      <c r="G129" s="22" t="s">
        <v>275</v>
      </c>
    </row>
    <row r="130" spans="1:7" ht="89.25">
      <c r="A130" s="1">
        <v>3</v>
      </c>
      <c r="B130" s="4" t="s">
        <v>939</v>
      </c>
      <c r="C130" s="2" t="s">
        <v>820</v>
      </c>
      <c r="D130" s="2" t="s">
        <v>484</v>
      </c>
      <c r="F130" s="4">
        <v>2</v>
      </c>
      <c r="G130" s="22" t="s">
        <v>275</v>
      </c>
    </row>
    <row r="131" spans="1:7" ht="89.25">
      <c r="A131" s="1">
        <v>4</v>
      </c>
      <c r="B131" s="4" t="s">
        <v>939</v>
      </c>
      <c r="C131" s="2" t="s">
        <v>820</v>
      </c>
      <c r="D131" s="2" t="s">
        <v>484</v>
      </c>
      <c r="F131" s="4">
        <v>2</v>
      </c>
      <c r="G131" s="22" t="s">
        <v>275</v>
      </c>
    </row>
    <row r="132" spans="1:7" ht="89.25">
      <c r="A132" s="1">
        <v>5</v>
      </c>
      <c r="B132" s="4" t="s">
        <v>939</v>
      </c>
      <c r="C132" s="2" t="s">
        <v>820</v>
      </c>
      <c r="D132" s="2" t="s">
        <v>484</v>
      </c>
      <c r="F132" s="4">
        <v>2</v>
      </c>
      <c r="G132" s="22" t="s">
        <v>275</v>
      </c>
    </row>
    <row r="133" spans="1:7" ht="89.25">
      <c r="A133" s="1">
        <v>6</v>
      </c>
      <c r="B133" s="4" t="s">
        <v>939</v>
      </c>
      <c r="C133" s="2" t="s">
        <v>820</v>
      </c>
      <c r="D133" s="2" t="s">
        <v>484</v>
      </c>
      <c r="F133" s="4">
        <v>2</v>
      </c>
      <c r="G133" s="22" t="s">
        <v>275</v>
      </c>
    </row>
    <row r="134" spans="1:7" ht="89.25">
      <c r="A134" s="1">
        <v>2</v>
      </c>
      <c r="B134" s="4" t="s">
        <v>939</v>
      </c>
      <c r="C134" s="2" t="s">
        <v>820</v>
      </c>
      <c r="D134" s="17" t="s">
        <v>485</v>
      </c>
      <c r="F134" s="4">
        <v>3</v>
      </c>
      <c r="G134" s="22" t="s">
        <v>276</v>
      </c>
    </row>
    <row r="135" spans="1:7" ht="89.25">
      <c r="A135" s="1">
        <v>5</v>
      </c>
      <c r="B135" s="4" t="s">
        <v>939</v>
      </c>
      <c r="C135" s="2" t="s">
        <v>820</v>
      </c>
      <c r="D135" s="2" t="s">
        <v>503</v>
      </c>
      <c r="F135" s="4">
        <v>3</v>
      </c>
      <c r="G135" s="22"/>
    </row>
    <row r="136" spans="1:7" ht="89.25">
      <c r="B136" s="4" t="s">
        <v>939</v>
      </c>
      <c r="C136" s="2" t="s">
        <v>820</v>
      </c>
      <c r="D136" s="2" t="s">
        <v>486</v>
      </c>
      <c r="F136" s="4">
        <v>3</v>
      </c>
      <c r="G136" s="22" t="s">
        <v>277</v>
      </c>
    </row>
    <row r="137" spans="1:7" ht="89.25">
      <c r="A137" s="1">
        <v>5</v>
      </c>
      <c r="B137" s="4" t="s">
        <v>939</v>
      </c>
      <c r="C137" s="2" t="s">
        <v>820</v>
      </c>
      <c r="D137" s="17" t="s">
        <v>487</v>
      </c>
      <c r="F137" s="4">
        <v>3</v>
      </c>
      <c r="G137" s="22" t="s">
        <v>278</v>
      </c>
    </row>
    <row r="138" spans="1:7" ht="89.25">
      <c r="A138" s="1">
        <v>2</v>
      </c>
      <c r="B138" s="4" t="s">
        <v>939</v>
      </c>
      <c r="C138" s="2" t="s">
        <v>820</v>
      </c>
      <c r="D138" s="17" t="s">
        <v>488</v>
      </c>
      <c r="F138" s="4">
        <v>2</v>
      </c>
      <c r="G138" s="22" t="s">
        <v>248</v>
      </c>
    </row>
    <row r="139" spans="1:7" ht="89.25">
      <c r="A139" s="1">
        <v>5</v>
      </c>
      <c r="B139" s="4"/>
      <c r="C139" s="2" t="s">
        <v>820</v>
      </c>
      <c r="D139" s="17" t="s">
        <v>489</v>
      </c>
      <c r="F139" s="4">
        <v>3</v>
      </c>
      <c r="G139" s="22" t="s">
        <v>279</v>
      </c>
    </row>
    <row r="140" spans="1:7" ht="89.25">
      <c r="A140" s="1">
        <v>5</v>
      </c>
      <c r="B140" s="4" t="s">
        <v>939</v>
      </c>
      <c r="C140" s="2" t="s">
        <v>820</v>
      </c>
      <c r="D140" s="2" t="s">
        <v>490</v>
      </c>
      <c r="F140" s="4">
        <v>3</v>
      </c>
      <c r="G140" s="22" t="s">
        <v>280</v>
      </c>
    </row>
    <row r="141" spans="1:7" ht="63.75">
      <c r="B141" s="4" t="s">
        <v>939</v>
      </c>
      <c r="C141" s="2" t="s">
        <v>821</v>
      </c>
      <c r="D141" s="17" t="s">
        <v>491</v>
      </c>
      <c r="F141" s="4">
        <v>2</v>
      </c>
      <c r="G141" s="22"/>
    </row>
    <row r="142" spans="1:7" ht="63.75">
      <c r="A142" s="1">
        <v>5</v>
      </c>
      <c r="B142" s="4" t="s">
        <v>939</v>
      </c>
      <c r="C142" s="2" t="s">
        <v>821</v>
      </c>
      <c r="D142" s="17" t="s">
        <v>492</v>
      </c>
      <c r="F142" s="4">
        <v>1</v>
      </c>
      <c r="G142" s="22" t="s">
        <v>281</v>
      </c>
    </row>
    <row r="143" spans="1:7" ht="63.75">
      <c r="B143" s="4" t="s">
        <v>939</v>
      </c>
      <c r="C143" s="2" t="s">
        <v>821</v>
      </c>
      <c r="D143" s="17" t="s">
        <v>504</v>
      </c>
      <c r="F143" s="4">
        <v>1</v>
      </c>
      <c r="G143" s="22"/>
    </row>
    <row r="144" spans="1:7" ht="63.75">
      <c r="A144" s="1">
        <v>4</v>
      </c>
      <c r="B144" s="4" t="s">
        <v>939</v>
      </c>
      <c r="C144" s="2" t="s">
        <v>821</v>
      </c>
      <c r="D144" s="2" t="s">
        <v>473</v>
      </c>
      <c r="F144" s="4">
        <v>2</v>
      </c>
      <c r="G144" s="22" t="s">
        <v>272</v>
      </c>
    </row>
    <row r="145" spans="2:7" ht="63.75">
      <c r="B145" s="4" t="s">
        <v>939</v>
      </c>
      <c r="C145" s="2" t="s">
        <v>821</v>
      </c>
      <c r="D145" s="17" t="s">
        <v>493</v>
      </c>
      <c r="F145" s="4">
        <v>3</v>
      </c>
      <c r="G145" s="22"/>
    </row>
    <row r="146" spans="2:7" ht="63.75">
      <c r="B146" s="4"/>
      <c r="C146" s="2" t="s">
        <v>821</v>
      </c>
      <c r="D146" s="17" t="s">
        <v>494</v>
      </c>
      <c r="F146" s="4">
        <v>2</v>
      </c>
      <c r="G146" s="22"/>
    </row>
    <row r="147" spans="2:7" ht="127.5">
      <c r="B147" s="4" t="s">
        <v>939</v>
      </c>
      <c r="C147" s="2" t="s">
        <v>822</v>
      </c>
      <c r="G147" s="22"/>
    </row>
    <row r="148" spans="2:7" ht="51">
      <c r="B148" s="4" t="s">
        <v>939</v>
      </c>
      <c r="C148" s="2" t="s">
        <v>823</v>
      </c>
      <c r="D148" s="2" t="s">
        <v>495</v>
      </c>
      <c r="F148" s="4">
        <v>1</v>
      </c>
      <c r="G148" s="22"/>
    </row>
    <row r="149" spans="2:7" ht="51">
      <c r="B149" s="4" t="s">
        <v>939</v>
      </c>
      <c r="C149" s="2" t="s">
        <v>823</v>
      </c>
      <c r="D149" s="2" t="s">
        <v>496</v>
      </c>
      <c r="F149" s="4">
        <v>3</v>
      </c>
      <c r="G149" s="22"/>
    </row>
    <row r="150" spans="2:7" ht="38.25">
      <c r="B150" s="4" t="s">
        <v>939</v>
      </c>
      <c r="C150" s="2" t="s">
        <v>824</v>
      </c>
      <c r="D150" s="17" t="s">
        <v>436</v>
      </c>
      <c r="F150" s="4">
        <v>3</v>
      </c>
      <c r="G150" s="22"/>
    </row>
    <row r="151" spans="2:7" ht="38.25">
      <c r="B151" s="4" t="s">
        <v>939</v>
      </c>
      <c r="C151" s="2" t="s">
        <v>825</v>
      </c>
      <c r="G151" s="22"/>
    </row>
    <row r="152" spans="2:7" ht="63.75">
      <c r="B152" s="4" t="s">
        <v>939</v>
      </c>
      <c r="C152" s="2" t="s">
        <v>826</v>
      </c>
      <c r="G152" s="22"/>
    </row>
    <row r="153" spans="2:7" ht="51">
      <c r="B153" s="4" t="s">
        <v>939</v>
      </c>
      <c r="C153" s="2" t="s">
        <v>828</v>
      </c>
      <c r="G153" s="22"/>
    </row>
    <row r="154" spans="2:7" ht="63.75">
      <c r="B154" s="4" t="s">
        <v>939</v>
      </c>
      <c r="C154" s="2" t="s">
        <v>829</v>
      </c>
      <c r="G154" s="22"/>
    </row>
    <row r="155" spans="2:7" ht="102">
      <c r="B155" s="4" t="s">
        <v>939</v>
      </c>
      <c r="C155" s="2" t="s">
        <v>830</v>
      </c>
      <c r="D155" s="2" t="s">
        <v>497</v>
      </c>
      <c r="F155" s="4">
        <v>3</v>
      </c>
      <c r="G155" s="22"/>
    </row>
    <row r="156" spans="2:7" ht="102">
      <c r="B156" s="4" t="s">
        <v>940</v>
      </c>
      <c r="C156" s="2" t="s">
        <v>831</v>
      </c>
      <c r="D156" s="17" t="s">
        <v>498</v>
      </c>
      <c r="F156" s="4">
        <v>2</v>
      </c>
      <c r="G156" s="22"/>
    </row>
    <row r="157" spans="2:7" ht="102">
      <c r="B157" s="4" t="s">
        <v>940</v>
      </c>
      <c r="C157" s="2" t="s">
        <v>831</v>
      </c>
      <c r="D157" s="2" t="s">
        <v>499</v>
      </c>
      <c r="F157" s="4">
        <v>2</v>
      </c>
      <c r="G157" s="22"/>
    </row>
    <row r="158" spans="2:7" ht="63.75">
      <c r="B158" s="4" t="s">
        <v>940</v>
      </c>
      <c r="C158" s="2" t="s">
        <v>832</v>
      </c>
      <c r="G158" s="22"/>
    </row>
  </sheetData>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customProperties>
    <customPr name="DVSECTIONID" r:id="rId2"/>
  </customProperties>
</worksheet>
</file>

<file path=xl/worksheets/sheet5.xml><?xml version="1.0" encoding="utf-8"?>
<worksheet xmlns="http://schemas.openxmlformats.org/spreadsheetml/2006/main" xmlns:r="http://schemas.openxmlformats.org/officeDocument/2006/relationships">
  <sheetPr codeName="Sheet7" enableFormatConditionsCalculation="0">
    <tabColor indexed="15"/>
  </sheetPr>
  <dimension ref="A1:G161"/>
  <sheetViews>
    <sheetView zoomScaleNormal="100" zoomScaleSheetLayoutView="100" workbookViewId="0">
      <selection activeCell="E4" sqref="E4"/>
    </sheetView>
  </sheetViews>
  <sheetFormatPr defaultRowHeight="12.75"/>
  <cols>
    <col min="1" max="1" width="8.42578125" style="1" customWidth="1"/>
    <col min="2" max="2" width="8" style="1" bestFit="1" customWidth="1"/>
    <col min="3" max="3" width="48.7109375" style="2" customWidth="1"/>
    <col min="4" max="4" width="50.7109375" style="2" customWidth="1"/>
    <col min="5" max="5" width="51" style="1" customWidth="1"/>
    <col min="6" max="6" width="6.42578125" style="4" bestFit="1" customWidth="1"/>
    <col min="7" max="7" width="11" style="22" customWidth="1"/>
    <col min="8" max="16384" width="9.140625" style="8"/>
  </cols>
  <sheetData>
    <row r="1" spans="1:7" ht="18.75">
      <c r="A1" s="5" t="s">
        <v>942</v>
      </c>
      <c r="B1" s="6"/>
      <c r="C1" s="7"/>
      <c r="D1" s="7"/>
      <c r="E1" s="7"/>
      <c r="F1" s="26"/>
    </row>
    <row r="2" spans="1:7" ht="18.75">
      <c r="A2" s="5" t="s">
        <v>1047</v>
      </c>
      <c r="B2" s="6"/>
      <c r="C2" s="7"/>
      <c r="D2" s="7"/>
      <c r="E2" s="7"/>
      <c r="F2" s="26"/>
    </row>
    <row r="3" spans="1:7" s="11" customFormat="1" ht="38.25">
      <c r="A3" s="9" t="s">
        <v>1305</v>
      </c>
      <c r="B3" s="9" t="s">
        <v>1039</v>
      </c>
      <c r="C3" s="9" t="s">
        <v>1041</v>
      </c>
      <c r="D3" s="9" t="s">
        <v>1044</v>
      </c>
      <c r="E3" s="9" t="s">
        <v>941</v>
      </c>
      <c r="F3" s="19" t="s">
        <v>833</v>
      </c>
      <c r="G3" s="23" t="s">
        <v>1040</v>
      </c>
    </row>
    <row r="4" spans="1:7" s="22" customFormat="1" ht="63.75">
      <c r="A4" s="21"/>
      <c r="B4" s="21" t="s">
        <v>1048</v>
      </c>
      <c r="C4" s="21" t="s">
        <v>510</v>
      </c>
      <c r="D4" s="24" t="s">
        <v>508</v>
      </c>
      <c r="E4" s="21"/>
      <c r="F4" s="19">
        <v>3</v>
      </c>
      <c r="G4" s="21"/>
    </row>
    <row r="5" spans="1:7" ht="63.75">
      <c r="A5" s="1">
        <v>2</v>
      </c>
      <c r="B5" s="1" t="s">
        <v>1048</v>
      </c>
      <c r="C5" s="3" t="s">
        <v>834</v>
      </c>
      <c r="D5" s="17" t="s">
        <v>509</v>
      </c>
      <c r="E5" s="2" t="s">
        <v>1043</v>
      </c>
      <c r="F5" s="4">
        <v>1</v>
      </c>
      <c r="G5" s="22" t="s">
        <v>1173</v>
      </c>
    </row>
    <row r="6" spans="1:7" ht="63.75">
      <c r="A6" s="1">
        <v>5</v>
      </c>
      <c r="B6" s="1" t="s">
        <v>1048</v>
      </c>
      <c r="C6" s="3" t="s">
        <v>834</v>
      </c>
      <c r="D6" s="17" t="s">
        <v>225</v>
      </c>
      <c r="E6" s="2"/>
      <c r="F6" s="4">
        <v>3</v>
      </c>
      <c r="G6" s="22" t="s">
        <v>1174</v>
      </c>
    </row>
    <row r="7" spans="1:7" ht="89.25">
      <c r="A7" s="1">
        <v>5</v>
      </c>
      <c r="B7" s="1" t="s">
        <v>1048</v>
      </c>
      <c r="C7" s="3" t="s">
        <v>835</v>
      </c>
      <c r="D7" s="17" t="s">
        <v>225</v>
      </c>
      <c r="F7" s="4">
        <v>3</v>
      </c>
      <c r="G7" s="22" t="s">
        <v>1174</v>
      </c>
    </row>
    <row r="8" spans="1:7" ht="89.25">
      <c r="A8" s="1">
        <v>1</v>
      </c>
      <c r="B8" s="1" t="s">
        <v>1048</v>
      </c>
      <c r="C8" s="3" t="s">
        <v>835</v>
      </c>
      <c r="D8" s="2" t="s">
        <v>511</v>
      </c>
      <c r="F8" s="4">
        <v>1</v>
      </c>
      <c r="G8" s="22" t="s">
        <v>1175</v>
      </c>
    </row>
    <row r="9" spans="1:7" ht="89.25">
      <c r="A9" s="1">
        <v>1</v>
      </c>
      <c r="B9" s="1" t="s">
        <v>1048</v>
      </c>
      <c r="C9" s="3" t="s">
        <v>835</v>
      </c>
      <c r="D9" s="2" t="s">
        <v>512</v>
      </c>
      <c r="F9" s="4">
        <v>3</v>
      </c>
      <c r="G9" s="22" t="s">
        <v>1159</v>
      </c>
    </row>
    <row r="10" spans="1:7" ht="89.25">
      <c r="A10" s="1">
        <v>2</v>
      </c>
      <c r="B10" s="1" t="s">
        <v>1048</v>
      </c>
      <c r="C10" s="3" t="s">
        <v>835</v>
      </c>
      <c r="D10" s="2" t="s">
        <v>512</v>
      </c>
      <c r="F10" s="4">
        <v>3</v>
      </c>
      <c r="G10" s="22" t="s">
        <v>1159</v>
      </c>
    </row>
    <row r="11" spans="1:7" ht="89.25">
      <c r="A11" s="1">
        <v>3</v>
      </c>
      <c r="B11" s="1" t="s">
        <v>1048</v>
      </c>
      <c r="C11" s="3" t="s">
        <v>835</v>
      </c>
      <c r="D11" s="2" t="s">
        <v>512</v>
      </c>
      <c r="F11" s="4">
        <v>3</v>
      </c>
      <c r="G11" s="22" t="s">
        <v>1159</v>
      </c>
    </row>
    <row r="12" spans="1:7" ht="89.25">
      <c r="A12" s="1">
        <v>4</v>
      </c>
      <c r="B12" s="1" t="s">
        <v>1048</v>
      </c>
      <c r="C12" s="3" t="s">
        <v>835</v>
      </c>
      <c r="D12" s="2" t="s">
        <v>512</v>
      </c>
      <c r="F12" s="4">
        <v>3</v>
      </c>
      <c r="G12" s="22" t="s">
        <v>1159</v>
      </c>
    </row>
    <row r="13" spans="1:7" ht="89.25">
      <c r="A13" s="1">
        <v>2</v>
      </c>
      <c r="B13" s="1" t="s">
        <v>1048</v>
      </c>
      <c r="C13" s="3" t="s">
        <v>835</v>
      </c>
      <c r="D13" s="17" t="s">
        <v>513</v>
      </c>
      <c r="F13" s="4">
        <v>2</v>
      </c>
      <c r="G13" s="22">
        <v>5.4</v>
      </c>
    </row>
    <row r="14" spans="1:7" ht="89.25">
      <c r="A14" s="1">
        <v>2</v>
      </c>
      <c r="B14" s="1" t="s">
        <v>1048</v>
      </c>
      <c r="C14" s="3" t="s">
        <v>835</v>
      </c>
      <c r="D14" s="17" t="s">
        <v>226</v>
      </c>
      <c r="F14" s="4">
        <v>1</v>
      </c>
      <c r="G14" s="22">
        <v>6.1</v>
      </c>
    </row>
    <row r="15" spans="1:7" ht="89.25">
      <c r="A15" s="1">
        <v>4</v>
      </c>
      <c r="B15" s="1" t="s">
        <v>1048</v>
      </c>
      <c r="C15" s="3" t="s">
        <v>835</v>
      </c>
      <c r="D15" s="17" t="s">
        <v>227</v>
      </c>
      <c r="F15" s="4">
        <v>1</v>
      </c>
      <c r="G15" s="22" t="s">
        <v>1160</v>
      </c>
    </row>
    <row r="16" spans="1:7" ht="89.25">
      <c r="A16" s="1">
        <v>5</v>
      </c>
      <c r="B16" s="1" t="s">
        <v>1048</v>
      </c>
      <c r="C16" s="3" t="s">
        <v>835</v>
      </c>
      <c r="D16" s="17" t="s">
        <v>227</v>
      </c>
      <c r="F16" s="4">
        <v>1</v>
      </c>
      <c r="G16" s="22" t="s">
        <v>1160</v>
      </c>
    </row>
    <row r="17" spans="1:7" ht="89.25">
      <c r="A17" s="1">
        <v>2</v>
      </c>
      <c r="B17" s="1" t="s">
        <v>1048</v>
      </c>
      <c r="C17" s="3" t="s">
        <v>835</v>
      </c>
      <c r="D17" s="17" t="s">
        <v>514</v>
      </c>
      <c r="F17" s="4">
        <v>3</v>
      </c>
      <c r="G17" s="22" t="s">
        <v>1161</v>
      </c>
    </row>
    <row r="18" spans="1:7" ht="89.25">
      <c r="A18" s="1">
        <v>3</v>
      </c>
      <c r="B18" s="1" t="s">
        <v>1048</v>
      </c>
      <c r="C18" s="3" t="s">
        <v>835</v>
      </c>
      <c r="D18" s="17" t="s">
        <v>514</v>
      </c>
      <c r="F18" s="4">
        <v>3</v>
      </c>
      <c r="G18" s="22" t="s">
        <v>1161</v>
      </c>
    </row>
    <row r="19" spans="1:7" ht="89.25">
      <c r="B19" s="1" t="s">
        <v>1048</v>
      </c>
      <c r="C19" s="3" t="s">
        <v>835</v>
      </c>
      <c r="D19" s="17" t="s">
        <v>515</v>
      </c>
      <c r="F19" s="4">
        <v>3</v>
      </c>
    </row>
    <row r="20" spans="1:7" ht="89.25">
      <c r="A20" s="1">
        <v>2</v>
      </c>
      <c r="B20" s="1" t="s">
        <v>1048</v>
      </c>
      <c r="C20" s="3" t="s">
        <v>835</v>
      </c>
      <c r="D20" s="17" t="s">
        <v>516</v>
      </c>
      <c r="F20" s="4">
        <v>2</v>
      </c>
      <c r="G20" s="22" t="s">
        <v>1162</v>
      </c>
    </row>
    <row r="21" spans="1:7" ht="89.25">
      <c r="A21" s="1">
        <v>3</v>
      </c>
      <c r="B21" s="1" t="s">
        <v>1048</v>
      </c>
      <c r="C21" s="3" t="s">
        <v>835</v>
      </c>
      <c r="D21" s="17" t="s">
        <v>516</v>
      </c>
      <c r="F21" s="4">
        <v>2</v>
      </c>
      <c r="G21" s="22" t="s">
        <v>1162</v>
      </c>
    </row>
    <row r="22" spans="1:7" ht="89.25">
      <c r="A22" s="1">
        <v>2</v>
      </c>
      <c r="B22" s="1" t="s">
        <v>1048</v>
      </c>
      <c r="C22" s="3" t="s">
        <v>835</v>
      </c>
      <c r="D22" s="2" t="s">
        <v>517</v>
      </c>
      <c r="F22" s="4">
        <v>2</v>
      </c>
      <c r="G22" s="22" t="s">
        <v>1176</v>
      </c>
    </row>
    <row r="23" spans="1:7" ht="89.25">
      <c r="B23" s="1" t="s">
        <v>1048</v>
      </c>
      <c r="C23" s="3" t="s">
        <v>835</v>
      </c>
      <c r="D23" s="2" t="s">
        <v>518</v>
      </c>
      <c r="F23" s="4">
        <v>2</v>
      </c>
    </row>
    <row r="24" spans="1:7" ht="89.25">
      <c r="B24" s="1" t="s">
        <v>1048</v>
      </c>
      <c r="C24" s="3" t="s">
        <v>835</v>
      </c>
      <c r="D24" s="2" t="s">
        <v>519</v>
      </c>
    </row>
    <row r="25" spans="1:7" ht="76.5">
      <c r="A25" s="1">
        <v>1</v>
      </c>
      <c r="B25" s="1" t="s">
        <v>1048</v>
      </c>
      <c r="C25" s="3" t="s">
        <v>836</v>
      </c>
      <c r="D25" s="17" t="s">
        <v>520</v>
      </c>
      <c r="F25" s="4">
        <v>3</v>
      </c>
      <c r="G25" s="22" t="s">
        <v>1177</v>
      </c>
    </row>
    <row r="26" spans="1:7" ht="76.5">
      <c r="A26" s="1">
        <v>1</v>
      </c>
      <c r="B26" s="1" t="s">
        <v>1048</v>
      </c>
      <c r="C26" s="3" t="s">
        <v>836</v>
      </c>
      <c r="D26" s="2" t="s">
        <v>521</v>
      </c>
      <c r="F26" s="4">
        <v>3</v>
      </c>
      <c r="G26" s="22" t="s">
        <v>1163</v>
      </c>
    </row>
    <row r="27" spans="1:7" ht="76.5">
      <c r="A27" s="1">
        <v>2</v>
      </c>
      <c r="B27" s="1" t="s">
        <v>1048</v>
      </c>
      <c r="C27" s="3" t="s">
        <v>836</v>
      </c>
      <c r="D27" s="2" t="s">
        <v>521</v>
      </c>
      <c r="F27" s="4">
        <v>3</v>
      </c>
      <c r="G27" s="22" t="s">
        <v>1163</v>
      </c>
    </row>
    <row r="28" spans="1:7" ht="89.25">
      <c r="B28" s="1" t="s">
        <v>1048</v>
      </c>
      <c r="C28" s="3" t="s">
        <v>837</v>
      </c>
      <c r="D28" s="17" t="s">
        <v>0</v>
      </c>
      <c r="F28" s="4">
        <v>2</v>
      </c>
    </row>
    <row r="29" spans="1:7" ht="89.25">
      <c r="A29" s="1">
        <v>1</v>
      </c>
      <c r="B29" s="1" t="s">
        <v>1048</v>
      </c>
      <c r="C29" s="3" t="s">
        <v>837</v>
      </c>
      <c r="D29" s="17" t="s">
        <v>1</v>
      </c>
      <c r="F29" s="4">
        <v>2</v>
      </c>
      <c r="G29" s="22" t="s">
        <v>1164</v>
      </c>
    </row>
    <row r="30" spans="1:7" ht="89.25">
      <c r="A30" s="1">
        <v>2</v>
      </c>
      <c r="B30" s="1" t="s">
        <v>1048</v>
      </c>
      <c r="C30" s="3" t="s">
        <v>837</v>
      </c>
      <c r="D30" s="17" t="s">
        <v>1</v>
      </c>
      <c r="F30" s="4">
        <v>2</v>
      </c>
      <c r="G30" s="22" t="s">
        <v>1164</v>
      </c>
    </row>
    <row r="31" spans="1:7" ht="89.25">
      <c r="A31" s="1">
        <v>2</v>
      </c>
      <c r="B31" s="1" t="s">
        <v>1048</v>
      </c>
      <c r="C31" s="3" t="s">
        <v>837</v>
      </c>
      <c r="D31" s="17" t="s">
        <v>2</v>
      </c>
      <c r="F31" s="4">
        <v>2</v>
      </c>
      <c r="G31" s="22" t="s">
        <v>1178</v>
      </c>
    </row>
    <row r="32" spans="1:7" ht="89.25">
      <c r="A32" s="1">
        <v>2</v>
      </c>
      <c r="B32" s="1" t="s">
        <v>1048</v>
      </c>
      <c r="C32" s="3" t="s">
        <v>837</v>
      </c>
      <c r="D32" s="2" t="s">
        <v>3</v>
      </c>
      <c r="F32" s="4">
        <v>3</v>
      </c>
      <c r="G32" s="22" t="s">
        <v>1179</v>
      </c>
    </row>
    <row r="33" spans="1:7" ht="89.25">
      <c r="A33" s="1">
        <v>2</v>
      </c>
      <c r="B33" s="1" t="s">
        <v>1048</v>
      </c>
      <c r="C33" s="3" t="s">
        <v>837</v>
      </c>
      <c r="D33" s="2" t="s">
        <v>4</v>
      </c>
      <c r="F33" s="4">
        <v>3</v>
      </c>
      <c r="G33" s="22" t="s">
        <v>1165</v>
      </c>
    </row>
    <row r="34" spans="1:7" ht="89.25">
      <c r="A34" s="1">
        <v>4</v>
      </c>
      <c r="B34" s="1" t="s">
        <v>1048</v>
      </c>
      <c r="C34" s="3" t="s">
        <v>837</v>
      </c>
      <c r="D34" s="2" t="s">
        <v>4</v>
      </c>
      <c r="F34" s="4">
        <v>3</v>
      </c>
      <c r="G34" s="22" t="s">
        <v>1165</v>
      </c>
    </row>
    <row r="35" spans="1:7" ht="76.5">
      <c r="A35" s="1">
        <v>1</v>
      </c>
      <c r="B35" s="1" t="s">
        <v>937</v>
      </c>
      <c r="C35" s="3" t="s">
        <v>838</v>
      </c>
      <c r="D35" s="2" t="s">
        <v>949</v>
      </c>
      <c r="F35" s="4">
        <v>3</v>
      </c>
      <c r="G35" s="22" t="s">
        <v>1166</v>
      </c>
    </row>
    <row r="36" spans="1:7" ht="76.5">
      <c r="A36" s="1">
        <v>3</v>
      </c>
      <c r="B36" s="1" t="s">
        <v>937</v>
      </c>
      <c r="C36" s="3" t="s">
        <v>838</v>
      </c>
      <c r="D36" s="2" t="s">
        <v>949</v>
      </c>
      <c r="F36" s="4">
        <v>3</v>
      </c>
      <c r="G36" s="22" t="s">
        <v>1166</v>
      </c>
    </row>
    <row r="37" spans="1:7" ht="76.5">
      <c r="A37" s="1">
        <v>1</v>
      </c>
      <c r="B37" s="1" t="s">
        <v>937</v>
      </c>
      <c r="C37" s="3" t="s">
        <v>203</v>
      </c>
      <c r="D37" s="2" t="s">
        <v>949</v>
      </c>
      <c r="G37" s="22" t="s">
        <v>1166</v>
      </c>
    </row>
    <row r="38" spans="1:7" ht="76.5">
      <c r="A38" s="1">
        <v>3</v>
      </c>
      <c r="B38" s="1" t="s">
        <v>937</v>
      </c>
      <c r="C38" s="3" t="s">
        <v>203</v>
      </c>
      <c r="D38" s="2" t="s">
        <v>949</v>
      </c>
      <c r="G38" s="22" t="s">
        <v>1166</v>
      </c>
    </row>
    <row r="39" spans="1:7" ht="76.5">
      <c r="A39" s="1">
        <v>1</v>
      </c>
      <c r="B39" s="1" t="s">
        <v>937</v>
      </c>
      <c r="C39" s="3" t="s">
        <v>203</v>
      </c>
      <c r="D39" s="2" t="s">
        <v>950</v>
      </c>
      <c r="F39" s="4">
        <v>3</v>
      </c>
      <c r="G39" s="22" t="s">
        <v>1167</v>
      </c>
    </row>
    <row r="40" spans="1:7" ht="76.5">
      <c r="A40" s="1">
        <v>3</v>
      </c>
      <c r="B40" s="1" t="s">
        <v>937</v>
      </c>
      <c r="C40" s="3" t="s">
        <v>203</v>
      </c>
      <c r="D40" s="2" t="s">
        <v>950</v>
      </c>
      <c r="F40" s="4">
        <v>3</v>
      </c>
      <c r="G40" s="22" t="s">
        <v>1167</v>
      </c>
    </row>
    <row r="41" spans="1:7" ht="76.5">
      <c r="A41" s="1">
        <v>1</v>
      </c>
      <c r="B41" s="1" t="s">
        <v>937</v>
      </c>
      <c r="C41" s="3" t="s">
        <v>203</v>
      </c>
      <c r="D41" s="17" t="s">
        <v>951</v>
      </c>
      <c r="F41" s="4">
        <v>3</v>
      </c>
      <c r="G41" s="22" t="s">
        <v>1168</v>
      </c>
    </row>
    <row r="42" spans="1:7" ht="76.5">
      <c r="A42" s="1">
        <v>3</v>
      </c>
      <c r="B42" s="1" t="s">
        <v>937</v>
      </c>
      <c r="C42" s="3" t="s">
        <v>203</v>
      </c>
      <c r="D42" s="17" t="s">
        <v>951</v>
      </c>
      <c r="F42" s="4">
        <v>3</v>
      </c>
      <c r="G42" s="22" t="s">
        <v>1168</v>
      </c>
    </row>
    <row r="43" spans="1:7" ht="51">
      <c r="B43" s="1" t="s">
        <v>937</v>
      </c>
      <c r="C43" s="2" t="s">
        <v>204</v>
      </c>
      <c r="D43" s="17" t="s">
        <v>952</v>
      </c>
      <c r="F43" s="4">
        <v>3</v>
      </c>
    </row>
    <row r="44" spans="1:7" ht="51">
      <c r="B44" s="1" t="s">
        <v>937</v>
      </c>
      <c r="C44" s="2" t="s">
        <v>205</v>
      </c>
    </row>
    <row r="45" spans="1:7" ht="102">
      <c r="A45" s="1">
        <v>2</v>
      </c>
      <c r="B45" s="1" t="s">
        <v>937</v>
      </c>
      <c r="C45" s="3" t="s">
        <v>206</v>
      </c>
      <c r="D45" s="17" t="s">
        <v>953</v>
      </c>
      <c r="F45" s="4">
        <v>3</v>
      </c>
      <c r="G45" s="22" t="s">
        <v>1180</v>
      </c>
    </row>
    <row r="46" spans="1:7" ht="102">
      <c r="A46" s="1">
        <v>1</v>
      </c>
      <c r="B46" s="1" t="s">
        <v>937</v>
      </c>
      <c r="C46" s="3" t="s">
        <v>206</v>
      </c>
      <c r="D46" s="17" t="s">
        <v>447</v>
      </c>
      <c r="F46" s="4">
        <v>2</v>
      </c>
      <c r="G46" s="22" t="s">
        <v>1169</v>
      </c>
    </row>
    <row r="47" spans="1:7" ht="102">
      <c r="A47" s="1">
        <v>2</v>
      </c>
      <c r="B47" s="1" t="s">
        <v>937</v>
      </c>
      <c r="C47" s="3" t="s">
        <v>206</v>
      </c>
      <c r="D47" s="17" t="s">
        <v>447</v>
      </c>
      <c r="F47" s="4">
        <v>2</v>
      </c>
      <c r="G47" s="22" t="s">
        <v>1169</v>
      </c>
    </row>
    <row r="48" spans="1:7" ht="102">
      <c r="A48" s="1">
        <v>2</v>
      </c>
      <c r="B48" s="1" t="s">
        <v>937</v>
      </c>
      <c r="C48" s="3" t="s">
        <v>206</v>
      </c>
      <c r="D48" s="17" t="s">
        <v>1090</v>
      </c>
      <c r="F48" s="4">
        <v>3</v>
      </c>
      <c r="G48" s="22">
        <v>7.5</v>
      </c>
    </row>
    <row r="49" spans="1:7" ht="102">
      <c r="A49" s="1">
        <v>2</v>
      </c>
      <c r="B49" s="1" t="s">
        <v>937</v>
      </c>
      <c r="C49" s="3" t="s">
        <v>206</v>
      </c>
      <c r="D49" s="2" t="s">
        <v>1091</v>
      </c>
      <c r="F49" s="4">
        <v>3</v>
      </c>
      <c r="G49" s="22" t="s">
        <v>1181</v>
      </c>
    </row>
    <row r="50" spans="1:7" ht="114.75">
      <c r="A50" s="1">
        <v>2</v>
      </c>
      <c r="B50" s="1" t="s">
        <v>937</v>
      </c>
      <c r="C50" s="3" t="s">
        <v>207</v>
      </c>
      <c r="D50" s="17" t="s">
        <v>953</v>
      </c>
      <c r="G50" s="22" t="s">
        <v>1180</v>
      </c>
    </row>
    <row r="51" spans="1:7" ht="114.75">
      <c r="A51" s="1">
        <v>2</v>
      </c>
      <c r="B51" s="1" t="s">
        <v>937</v>
      </c>
      <c r="C51" s="3" t="s">
        <v>207</v>
      </c>
      <c r="D51" s="2" t="s">
        <v>517</v>
      </c>
      <c r="F51" s="4">
        <v>3</v>
      </c>
      <c r="G51" s="22" t="s">
        <v>1176</v>
      </c>
    </row>
    <row r="52" spans="1:7" ht="114.75">
      <c r="A52" s="1">
        <v>2</v>
      </c>
      <c r="B52" s="1" t="s">
        <v>937</v>
      </c>
      <c r="C52" s="3" t="s">
        <v>207</v>
      </c>
      <c r="D52" s="17" t="s">
        <v>1092</v>
      </c>
      <c r="F52" s="4">
        <v>3</v>
      </c>
      <c r="G52" s="22" t="s">
        <v>1182</v>
      </c>
    </row>
    <row r="53" spans="1:7" ht="89.25">
      <c r="A53" s="1">
        <v>3</v>
      </c>
      <c r="B53" s="1" t="s">
        <v>938</v>
      </c>
      <c r="C53" s="3" t="s">
        <v>214</v>
      </c>
      <c r="D53" s="2" t="s">
        <v>228</v>
      </c>
      <c r="F53" s="4">
        <v>3</v>
      </c>
      <c r="G53" s="22" t="s">
        <v>1183</v>
      </c>
    </row>
    <row r="54" spans="1:7" ht="89.25">
      <c r="A54" s="1">
        <v>1</v>
      </c>
      <c r="B54" s="1" t="s">
        <v>938</v>
      </c>
      <c r="C54" s="3" t="s">
        <v>214</v>
      </c>
      <c r="D54" s="2" t="s">
        <v>512</v>
      </c>
      <c r="F54" s="4">
        <v>3</v>
      </c>
      <c r="G54" s="22" t="s">
        <v>1159</v>
      </c>
    </row>
    <row r="55" spans="1:7" ht="89.25">
      <c r="A55" s="1">
        <v>2</v>
      </c>
      <c r="B55" s="1" t="s">
        <v>938</v>
      </c>
      <c r="C55" s="3" t="s">
        <v>214</v>
      </c>
      <c r="D55" s="2" t="s">
        <v>512</v>
      </c>
      <c r="F55" s="4">
        <v>3</v>
      </c>
      <c r="G55" s="22" t="s">
        <v>1159</v>
      </c>
    </row>
    <row r="56" spans="1:7" ht="89.25">
      <c r="A56" s="1">
        <v>3</v>
      </c>
      <c r="B56" s="1" t="s">
        <v>938</v>
      </c>
      <c r="C56" s="3" t="s">
        <v>214</v>
      </c>
      <c r="D56" s="2" t="s">
        <v>512</v>
      </c>
      <c r="F56" s="4">
        <v>3</v>
      </c>
      <c r="G56" s="22" t="s">
        <v>1159</v>
      </c>
    </row>
    <row r="57" spans="1:7" ht="89.25">
      <c r="A57" s="1">
        <v>4</v>
      </c>
      <c r="B57" s="1" t="s">
        <v>938</v>
      </c>
      <c r="C57" s="3" t="s">
        <v>214</v>
      </c>
      <c r="D57" s="2" t="s">
        <v>512</v>
      </c>
      <c r="F57" s="4">
        <v>3</v>
      </c>
      <c r="G57" s="22" t="s">
        <v>1159</v>
      </c>
    </row>
    <row r="58" spans="1:7" ht="127.5">
      <c r="A58" s="1">
        <v>3</v>
      </c>
      <c r="B58" s="1" t="s">
        <v>938</v>
      </c>
      <c r="C58" s="3" t="s">
        <v>805</v>
      </c>
      <c r="D58" s="17" t="s">
        <v>1093</v>
      </c>
      <c r="F58" s="4">
        <v>3</v>
      </c>
      <c r="G58" s="22" t="s">
        <v>1184</v>
      </c>
    </row>
    <row r="59" spans="1:7" ht="127.5">
      <c r="A59" s="1">
        <v>3</v>
      </c>
      <c r="B59" s="1" t="s">
        <v>938</v>
      </c>
      <c r="C59" s="3" t="s">
        <v>805</v>
      </c>
      <c r="D59" s="17" t="s">
        <v>1094</v>
      </c>
      <c r="F59" s="4">
        <v>2</v>
      </c>
      <c r="G59" s="22">
        <v>12.4</v>
      </c>
    </row>
    <row r="60" spans="1:7" ht="127.5">
      <c r="A60" s="1">
        <v>1</v>
      </c>
      <c r="B60" s="1" t="s">
        <v>938</v>
      </c>
      <c r="C60" s="3" t="s">
        <v>805</v>
      </c>
      <c r="D60" s="2" t="s">
        <v>512</v>
      </c>
      <c r="F60" s="4">
        <v>3</v>
      </c>
      <c r="G60" s="22" t="s">
        <v>1159</v>
      </c>
    </row>
    <row r="61" spans="1:7" ht="127.5">
      <c r="A61" s="1">
        <v>2</v>
      </c>
      <c r="B61" s="1" t="s">
        <v>938</v>
      </c>
      <c r="C61" s="3" t="s">
        <v>805</v>
      </c>
      <c r="D61" s="2" t="s">
        <v>512</v>
      </c>
      <c r="F61" s="4">
        <v>3</v>
      </c>
      <c r="G61" s="22" t="s">
        <v>1159</v>
      </c>
    </row>
    <row r="62" spans="1:7" ht="127.5">
      <c r="A62" s="1">
        <v>3</v>
      </c>
      <c r="B62" s="1" t="s">
        <v>938</v>
      </c>
      <c r="C62" s="3" t="s">
        <v>805</v>
      </c>
      <c r="D62" s="2" t="s">
        <v>512</v>
      </c>
      <c r="F62" s="4">
        <v>3</v>
      </c>
      <c r="G62" s="22" t="s">
        <v>1159</v>
      </c>
    </row>
    <row r="63" spans="1:7" ht="127.5">
      <c r="A63" s="1">
        <v>4</v>
      </c>
      <c r="B63" s="1" t="s">
        <v>938</v>
      </c>
      <c r="C63" s="3" t="s">
        <v>805</v>
      </c>
      <c r="D63" s="2" t="s">
        <v>512</v>
      </c>
      <c r="F63" s="4">
        <v>3</v>
      </c>
      <c r="G63" s="22" t="s">
        <v>1159</v>
      </c>
    </row>
    <row r="64" spans="1:7" ht="127.5">
      <c r="A64" s="1">
        <v>3</v>
      </c>
      <c r="B64" s="1" t="s">
        <v>938</v>
      </c>
      <c r="C64" s="3" t="s">
        <v>805</v>
      </c>
      <c r="D64" s="2" t="s">
        <v>1095</v>
      </c>
      <c r="F64" s="4">
        <v>3</v>
      </c>
      <c r="G64" s="22" t="s">
        <v>1185</v>
      </c>
    </row>
    <row r="65" spans="1:7" ht="38.25">
      <c r="B65" s="1" t="s">
        <v>938</v>
      </c>
      <c r="C65" s="2" t="s">
        <v>806</v>
      </c>
    </row>
    <row r="66" spans="1:7" ht="25.5">
      <c r="A66" s="1">
        <v>3</v>
      </c>
      <c r="B66" s="1" t="s">
        <v>938</v>
      </c>
      <c r="C66" s="2" t="s">
        <v>807</v>
      </c>
      <c r="D66" s="2" t="s">
        <v>1096</v>
      </c>
      <c r="F66" s="4">
        <v>3</v>
      </c>
      <c r="G66" s="22" t="s">
        <v>1186</v>
      </c>
    </row>
    <row r="67" spans="1:7" ht="63.75">
      <c r="A67" s="1">
        <v>3</v>
      </c>
      <c r="B67" s="1" t="s">
        <v>938</v>
      </c>
      <c r="C67" s="3" t="s">
        <v>808</v>
      </c>
      <c r="D67" s="2" t="s">
        <v>1096</v>
      </c>
      <c r="F67" s="4">
        <v>3</v>
      </c>
      <c r="G67" s="22" t="s">
        <v>1187</v>
      </c>
    </row>
    <row r="68" spans="1:7" ht="76.5">
      <c r="A68" s="1">
        <v>1</v>
      </c>
      <c r="B68" s="1" t="s">
        <v>938</v>
      </c>
      <c r="C68" s="3" t="s">
        <v>808</v>
      </c>
      <c r="D68" s="2" t="s">
        <v>512</v>
      </c>
      <c r="F68" s="4">
        <v>3</v>
      </c>
      <c r="G68" s="22" t="s">
        <v>1159</v>
      </c>
    </row>
    <row r="69" spans="1:7" ht="76.5">
      <c r="A69" s="1">
        <v>2</v>
      </c>
      <c r="B69" s="1" t="s">
        <v>938</v>
      </c>
      <c r="C69" s="3" t="s">
        <v>808</v>
      </c>
      <c r="D69" s="2" t="s">
        <v>512</v>
      </c>
      <c r="F69" s="4">
        <v>3</v>
      </c>
      <c r="G69" s="22" t="s">
        <v>1170</v>
      </c>
    </row>
    <row r="70" spans="1:7" ht="76.5">
      <c r="A70" s="1">
        <v>3</v>
      </c>
      <c r="B70" s="1" t="s">
        <v>938</v>
      </c>
      <c r="C70" s="3" t="s">
        <v>808</v>
      </c>
      <c r="D70" s="2" t="s">
        <v>512</v>
      </c>
      <c r="F70" s="4">
        <v>3</v>
      </c>
      <c r="G70" s="22" t="s">
        <v>1188</v>
      </c>
    </row>
    <row r="71" spans="1:7" ht="76.5">
      <c r="A71" s="1">
        <v>4</v>
      </c>
      <c r="B71" s="1" t="s">
        <v>938</v>
      </c>
      <c r="C71" s="3" t="s">
        <v>808</v>
      </c>
      <c r="D71" s="2" t="s">
        <v>512</v>
      </c>
      <c r="F71" s="4">
        <v>3</v>
      </c>
      <c r="G71" s="22" t="s">
        <v>1189</v>
      </c>
    </row>
    <row r="72" spans="1:7" ht="63.75">
      <c r="B72" s="1" t="s">
        <v>938</v>
      </c>
      <c r="C72" s="3" t="s">
        <v>808</v>
      </c>
      <c r="D72" s="2" t="s">
        <v>1097</v>
      </c>
      <c r="F72" s="4">
        <v>3</v>
      </c>
    </row>
    <row r="73" spans="1:7" ht="51">
      <c r="A73" s="1">
        <v>1</v>
      </c>
      <c r="B73" s="1" t="s">
        <v>938</v>
      </c>
      <c r="C73" s="2" t="s">
        <v>809</v>
      </c>
      <c r="D73" s="17" t="s">
        <v>1098</v>
      </c>
      <c r="F73" s="4">
        <v>3</v>
      </c>
      <c r="G73" s="22" t="s">
        <v>1177</v>
      </c>
    </row>
    <row r="74" spans="1:7" ht="51">
      <c r="A74" s="1">
        <v>3</v>
      </c>
      <c r="B74" s="1" t="s">
        <v>938</v>
      </c>
      <c r="C74" s="2" t="s">
        <v>809</v>
      </c>
      <c r="D74" s="2" t="s">
        <v>1099</v>
      </c>
      <c r="F74" s="4">
        <v>3</v>
      </c>
      <c r="G74" s="22" t="s">
        <v>1190</v>
      </c>
    </row>
    <row r="75" spans="1:7" ht="76.5">
      <c r="A75" s="1">
        <v>1</v>
      </c>
      <c r="B75" s="1" t="s">
        <v>938</v>
      </c>
      <c r="C75" s="2" t="s">
        <v>810</v>
      </c>
      <c r="D75" s="2" t="s">
        <v>512</v>
      </c>
      <c r="F75" s="4">
        <v>3</v>
      </c>
      <c r="G75" s="22" t="s">
        <v>1159</v>
      </c>
    </row>
    <row r="76" spans="1:7" ht="76.5">
      <c r="A76" s="1">
        <v>2</v>
      </c>
      <c r="B76" s="1" t="s">
        <v>938</v>
      </c>
      <c r="C76" s="2" t="s">
        <v>810</v>
      </c>
      <c r="D76" s="2" t="s">
        <v>512</v>
      </c>
      <c r="F76" s="4">
        <v>3</v>
      </c>
      <c r="G76" s="22" t="s">
        <v>1159</v>
      </c>
    </row>
    <row r="77" spans="1:7" ht="76.5">
      <c r="A77" s="1">
        <v>3</v>
      </c>
      <c r="B77" s="1" t="s">
        <v>938</v>
      </c>
      <c r="C77" s="2" t="s">
        <v>810</v>
      </c>
      <c r="D77" s="2" t="s">
        <v>512</v>
      </c>
      <c r="F77" s="4">
        <v>3</v>
      </c>
      <c r="G77" s="22" t="s">
        <v>1159</v>
      </c>
    </row>
    <row r="78" spans="1:7" ht="76.5">
      <c r="A78" s="1">
        <v>4</v>
      </c>
      <c r="B78" s="1" t="s">
        <v>938</v>
      </c>
      <c r="C78" s="2" t="s">
        <v>810</v>
      </c>
      <c r="D78" s="2" t="s">
        <v>512</v>
      </c>
      <c r="F78" s="4">
        <v>3</v>
      </c>
      <c r="G78" s="22" t="s">
        <v>1159</v>
      </c>
    </row>
    <row r="79" spans="1:7" ht="51">
      <c r="A79" s="1">
        <v>3</v>
      </c>
      <c r="B79" s="1" t="s">
        <v>938</v>
      </c>
      <c r="C79" s="2" t="s">
        <v>810</v>
      </c>
      <c r="D79" s="2" t="s">
        <v>1096</v>
      </c>
      <c r="F79" s="4">
        <v>3</v>
      </c>
      <c r="G79" s="22" t="s">
        <v>1186</v>
      </c>
    </row>
    <row r="80" spans="1:7" ht="51">
      <c r="A80" s="1">
        <v>3</v>
      </c>
      <c r="B80" s="1" t="s">
        <v>938</v>
      </c>
      <c r="C80" s="2" t="s">
        <v>810</v>
      </c>
      <c r="D80" s="2" t="s">
        <v>1100</v>
      </c>
      <c r="F80" s="4">
        <v>3</v>
      </c>
      <c r="G80" s="22" t="s">
        <v>1191</v>
      </c>
    </row>
    <row r="81" spans="1:7" ht="51">
      <c r="B81" s="1" t="s">
        <v>938</v>
      </c>
      <c r="C81" s="2" t="s">
        <v>548</v>
      </c>
    </row>
    <row r="82" spans="1:7" ht="51">
      <c r="B82" s="1" t="s">
        <v>938</v>
      </c>
      <c r="C82" s="2" t="s">
        <v>549</v>
      </c>
    </row>
    <row r="83" spans="1:7" ht="63.75">
      <c r="B83" s="1" t="s">
        <v>938</v>
      </c>
      <c r="C83" s="3" t="s">
        <v>954</v>
      </c>
    </row>
    <row r="84" spans="1:7" ht="89.25">
      <c r="A84" s="1">
        <v>1</v>
      </c>
      <c r="B84" s="1" t="s">
        <v>938</v>
      </c>
      <c r="C84" s="3" t="s">
        <v>955</v>
      </c>
      <c r="D84" s="2" t="s">
        <v>512</v>
      </c>
      <c r="F84" s="4">
        <v>3</v>
      </c>
      <c r="G84" s="22" t="s">
        <v>1159</v>
      </c>
    </row>
    <row r="85" spans="1:7" ht="89.25">
      <c r="A85" s="1">
        <v>2</v>
      </c>
      <c r="B85" s="1" t="s">
        <v>938</v>
      </c>
      <c r="C85" s="3" t="s">
        <v>955</v>
      </c>
      <c r="D85" s="2" t="s">
        <v>512</v>
      </c>
      <c r="F85" s="4">
        <v>3</v>
      </c>
      <c r="G85" s="22" t="s">
        <v>1159</v>
      </c>
    </row>
    <row r="86" spans="1:7" ht="89.25">
      <c r="A86" s="1">
        <v>3</v>
      </c>
      <c r="B86" s="1" t="s">
        <v>938</v>
      </c>
      <c r="C86" s="3" t="s">
        <v>955</v>
      </c>
      <c r="D86" s="2" t="s">
        <v>512</v>
      </c>
      <c r="F86" s="4">
        <v>3</v>
      </c>
      <c r="G86" s="22" t="s">
        <v>1159</v>
      </c>
    </row>
    <row r="87" spans="1:7" ht="89.25">
      <c r="A87" s="1">
        <v>4</v>
      </c>
      <c r="B87" s="1" t="s">
        <v>938</v>
      </c>
      <c r="C87" s="3" t="s">
        <v>955</v>
      </c>
      <c r="D87" s="2" t="s">
        <v>512</v>
      </c>
      <c r="F87" s="4">
        <v>3</v>
      </c>
      <c r="G87" s="22" t="s">
        <v>1159</v>
      </c>
    </row>
    <row r="88" spans="1:7" ht="127.5">
      <c r="A88" s="1">
        <v>1</v>
      </c>
      <c r="B88" s="1" t="s">
        <v>938</v>
      </c>
      <c r="C88" s="3" t="s">
        <v>956</v>
      </c>
      <c r="D88" s="2" t="s">
        <v>512</v>
      </c>
      <c r="F88" s="4">
        <v>3</v>
      </c>
      <c r="G88" s="22" t="s">
        <v>1170</v>
      </c>
    </row>
    <row r="89" spans="1:7" ht="127.5">
      <c r="A89" s="1">
        <v>2</v>
      </c>
      <c r="B89" s="1" t="s">
        <v>938</v>
      </c>
      <c r="C89" s="3" t="s">
        <v>956</v>
      </c>
      <c r="D89" s="2" t="s">
        <v>512</v>
      </c>
      <c r="F89" s="4">
        <v>3</v>
      </c>
      <c r="G89" s="22" t="s">
        <v>1170</v>
      </c>
    </row>
    <row r="90" spans="1:7" ht="127.5">
      <c r="A90" s="1">
        <v>3</v>
      </c>
      <c r="B90" s="1" t="s">
        <v>938</v>
      </c>
      <c r="C90" s="3" t="s">
        <v>956</v>
      </c>
      <c r="D90" s="2" t="s">
        <v>512</v>
      </c>
      <c r="F90" s="4">
        <v>3</v>
      </c>
      <c r="G90" s="22" t="s">
        <v>1170</v>
      </c>
    </row>
    <row r="91" spans="1:7" ht="127.5">
      <c r="A91" s="1">
        <v>4</v>
      </c>
      <c r="B91" s="1" t="s">
        <v>938</v>
      </c>
      <c r="C91" s="3" t="s">
        <v>956</v>
      </c>
      <c r="D91" s="2" t="s">
        <v>512</v>
      </c>
      <c r="F91" s="4">
        <v>3</v>
      </c>
      <c r="G91" s="22" t="s">
        <v>1170</v>
      </c>
    </row>
    <row r="92" spans="1:7" ht="127.5">
      <c r="A92" s="1">
        <v>3</v>
      </c>
      <c r="B92" s="1" t="s">
        <v>938</v>
      </c>
      <c r="C92" s="3" t="s">
        <v>956</v>
      </c>
      <c r="D92" s="17" t="s">
        <v>1101</v>
      </c>
      <c r="F92" s="4">
        <v>2</v>
      </c>
      <c r="G92" s="22" t="s">
        <v>1192</v>
      </c>
    </row>
    <row r="93" spans="1:7" ht="127.5">
      <c r="A93" s="1">
        <v>3</v>
      </c>
      <c r="B93" s="1" t="s">
        <v>938</v>
      </c>
      <c r="C93" s="3" t="s">
        <v>956</v>
      </c>
      <c r="D93" s="17" t="s">
        <v>1102</v>
      </c>
      <c r="F93" s="4">
        <v>2</v>
      </c>
      <c r="G93" s="22" t="s">
        <v>1193</v>
      </c>
    </row>
    <row r="94" spans="1:7" ht="127.5">
      <c r="B94" s="1" t="s">
        <v>938</v>
      </c>
      <c r="C94" s="3" t="s">
        <v>956</v>
      </c>
      <c r="D94" s="25" t="s">
        <v>1103</v>
      </c>
      <c r="F94" s="4">
        <v>1</v>
      </c>
    </row>
    <row r="95" spans="1:7" ht="63.75">
      <c r="A95" s="1">
        <v>3</v>
      </c>
      <c r="B95" s="1" t="s">
        <v>938</v>
      </c>
      <c r="C95" s="3" t="s">
        <v>957</v>
      </c>
      <c r="D95" s="17" t="s">
        <v>229</v>
      </c>
      <c r="F95" s="4">
        <v>3</v>
      </c>
      <c r="G95" s="22">
        <v>12.3</v>
      </c>
    </row>
    <row r="96" spans="1:7" ht="63.75">
      <c r="A96" s="1">
        <v>3</v>
      </c>
      <c r="B96" s="1" t="s">
        <v>938</v>
      </c>
      <c r="C96" s="3" t="s">
        <v>957</v>
      </c>
      <c r="D96" s="17" t="s">
        <v>1104</v>
      </c>
      <c r="F96" s="4">
        <v>2</v>
      </c>
      <c r="G96" s="22" t="s">
        <v>1171</v>
      </c>
    </row>
    <row r="97" spans="1:7" ht="63.75">
      <c r="A97" s="1">
        <v>4</v>
      </c>
      <c r="B97" s="1" t="s">
        <v>938</v>
      </c>
      <c r="C97" s="3" t="s">
        <v>957</v>
      </c>
      <c r="D97" s="17" t="s">
        <v>1104</v>
      </c>
      <c r="F97" s="4">
        <v>2</v>
      </c>
      <c r="G97" s="22" t="s">
        <v>1171</v>
      </c>
    </row>
    <row r="98" spans="1:7" ht="63.75">
      <c r="B98" s="1" t="s">
        <v>938</v>
      </c>
      <c r="C98" s="3" t="s">
        <v>957</v>
      </c>
      <c r="D98" s="2" t="s">
        <v>1105</v>
      </c>
    </row>
    <row r="99" spans="1:7" ht="63.75">
      <c r="A99" s="1">
        <v>1</v>
      </c>
      <c r="B99" s="1" t="s">
        <v>938</v>
      </c>
      <c r="C99" s="3" t="s">
        <v>957</v>
      </c>
      <c r="D99" s="2" t="s">
        <v>512</v>
      </c>
      <c r="F99" s="4">
        <v>3</v>
      </c>
      <c r="G99" s="22" t="s">
        <v>1194</v>
      </c>
    </row>
    <row r="100" spans="1:7" ht="102">
      <c r="A100" s="1">
        <v>2</v>
      </c>
      <c r="B100" s="1" t="s">
        <v>938</v>
      </c>
      <c r="C100" s="3" t="s">
        <v>362</v>
      </c>
      <c r="D100" s="2" t="s">
        <v>1095</v>
      </c>
      <c r="F100" s="4">
        <v>3</v>
      </c>
      <c r="G100" s="22" t="s">
        <v>1182</v>
      </c>
    </row>
    <row r="101" spans="1:7" ht="102">
      <c r="A101" s="1">
        <v>1</v>
      </c>
      <c r="B101" s="1" t="s">
        <v>938</v>
      </c>
      <c r="C101" s="3" t="s">
        <v>362</v>
      </c>
      <c r="D101" s="2" t="s">
        <v>512</v>
      </c>
      <c r="F101" s="4">
        <v>3</v>
      </c>
      <c r="G101" s="22" t="s">
        <v>1159</v>
      </c>
    </row>
    <row r="102" spans="1:7" ht="102">
      <c r="A102" s="1">
        <v>2</v>
      </c>
      <c r="B102" s="1" t="s">
        <v>938</v>
      </c>
      <c r="C102" s="3" t="s">
        <v>362</v>
      </c>
      <c r="D102" s="2" t="s">
        <v>512</v>
      </c>
      <c r="F102" s="4">
        <v>3</v>
      </c>
      <c r="G102" s="22" t="s">
        <v>1159</v>
      </c>
    </row>
    <row r="103" spans="1:7" ht="102">
      <c r="A103" s="1">
        <v>3</v>
      </c>
      <c r="B103" s="1" t="s">
        <v>938</v>
      </c>
      <c r="C103" s="3" t="s">
        <v>362</v>
      </c>
      <c r="D103" s="2" t="s">
        <v>512</v>
      </c>
      <c r="F103" s="4">
        <v>3</v>
      </c>
      <c r="G103" s="22" t="s">
        <v>1159</v>
      </c>
    </row>
    <row r="104" spans="1:7" ht="102">
      <c r="A104" s="1">
        <v>4</v>
      </c>
      <c r="B104" s="1" t="s">
        <v>938</v>
      </c>
      <c r="C104" s="3" t="s">
        <v>362</v>
      </c>
      <c r="D104" s="2" t="s">
        <v>512</v>
      </c>
      <c r="F104" s="4">
        <v>3</v>
      </c>
      <c r="G104" s="22" t="s">
        <v>1159</v>
      </c>
    </row>
    <row r="105" spans="1:7" ht="102">
      <c r="B105" s="1" t="s">
        <v>938</v>
      </c>
      <c r="C105" s="3" t="s">
        <v>362</v>
      </c>
      <c r="D105" s="17" t="s">
        <v>1106</v>
      </c>
      <c r="F105" s="4">
        <v>3</v>
      </c>
    </row>
    <row r="106" spans="1:7" ht="102">
      <c r="A106" s="1">
        <v>3</v>
      </c>
      <c r="B106" s="1" t="s">
        <v>938</v>
      </c>
      <c r="C106" s="3" t="s">
        <v>362</v>
      </c>
      <c r="D106" s="2" t="s">
        <v>230</v>
      </c>
      <c r="F106" s="4">
        <v>3</v>
      </c>
      <c r="G106" s="22" t="s">
        <v>1195</v>
      </c>
    </row>
    <row r="107" spans="1:7" ht="114.75">
      <c r="A107" s="1">
        <v>4</v>
      </c>
      <c r="B107" s="1" t="s">
        <v>939</v>
      </c>
      <c r="C107" s="3" t="s">
        <v>363</v>
      </c>
      <c r="D107" s="17" t="s">
        <v>1107</v>
      </c>
      <c r="F107" s="4">
        <v>3</v>
      </c>
      <c r="G107" s="22" t="s">
        <v>1196</v>
      </c>
    </row>
    <row r="108" spans="1:7" ht="114.75">
      <c r="A108" s="1">
        <v>4</v>
      </c>
      <c r="B108" s="1" t="s">
        <v>939</v>
      </c>
      <c r="C108" s="3" t="s">
        <v>363</v>
      </c>
      <c r="D108" s="2" t="s">
        <v>1108</v>
      </c>
      <c r="F108" s="4">
        <v>3</v>
      </c>
      <c r="G108" s="22" t="s">
        <v>1197</v>
      </c>
    </row>
    <row r="109" spans="1:7" ht="114.75">
      <c r="A109" s="1">
        <v>1</v>
      </c>
      <c r="B109" s="1" t="s">
        <v>939</v>
      </c>
      <c r="C109" s="3" t="s">
        <v>363</v>
      </c>
      <c r="D109" s="2" t="s">
        <v>1109</v>
      </c>
      <c r="F109" s="4">
        <v>3</v>
      </c>
      <c r="G109" s="22" t="s">
        <v>1169</v>
      </c>
    </row>
    <row r="110" spans="1:7" ht="114.75">
      <c r="A110" s="1">
        <v>2</v>
      </c>
      <c r="B110" s="1" t="s">
        <v>939</v>
      </c>
      <c r="C110" s="3" t="s">
        <v>363</v>
      </c>
      <c r="D110" s="2" t="s">
        <v>1109</v>
      </c>
      <c r="F110" s="4">
        <v>3</v>
      </c>
      <c r="G110" s="22" t="s">
        <v>1169</v>
      </c>
    </row>
    <row r="111" spans="1:7" ht="114.75">
      <c r="A111" s="1">
        <v>4</v>
      </c>
      <c r="B111" s="1" t="s">
        <v>939</v>
      </c>
      <c r="C111" s="3" t="s">
        <v>363</v>
      </c>
      <c r="D111" s="2" t="s">
        <v>1110</v>
      </c>
      <c r="F111" s="4">
        <v>3</v>
      </c>
      <c r="G111" s="22" t="s">
        <v>1198</v>
      </c>
    </row>
    <row r="112" spans="1:7" ht="114.75">
      <c r="A112" s="1">
        <v>4</v>
      </c>
      <c r="B112" s="1" t="s">
        <v>939</v>
      </c>
      <c r="C112" s="3" t="s">
        <v>363</v>
      </c>
      <c r="D112" s="17" t="s">
        <v>1111</v>
      </c>
      <c r="F112" s="4">
        <v>2</v>
      </c>
      <c r="G112" s="22">
        <v>14.3</v>
      </c>
    </row>
    <row r="113" spans="1:7" ht="114.75">
      <c r="A113" s="1">
        <v>4</v>
      </c>
      <c r="B113" s="1" t="s">
        <v>939</v>
      </c>
      <c r="C113" s="3" t="s">
        <v>363</v>
      </c>
      <c r="D113" s="17" t="s">
        <v>311</v>
      </c>
      <c r="F113" s="4">
        <v>3</v>
      </c>
      <c r="G113" s="22">
        <v>14.1</v>
      </c>
    </row>
    <row r="114" spans="1:7" ht="114.75">
      <c r="A114" s="1">
        <v>4</v>
      </c>
      <c r="B114" s="1" t="s">
        <v>939</v>
      </c>
      <c r="C114" s="3" t="s">
        <v>363</v>
      </c>
      <c r="D114" s="17" t="s">
        <v>1112</v>
      </c>
      <c r="F114" s="4">
        <v>3</v>
      </c>
      <c r="G114" s="22" t="s">
        <v>1199</v>
      </c>
    </row>
    <row r="115" spans="1:7" ht="114.75">
      <c r="A115" s="1">
        <v>4</v>
      </c>
      <c r="B115" s="1" t="s">
        <v>939</v>
      </c>
      <c r="C115" s="3" t="s">
        <v>363</v>
      </c>
      <c r="D115" s="17" t="s">
        <v>1113</v>
      </c>
      <c r="F115" s="4">
        <v>3</v>
      </c>
      <c r="G115" s="22" t="s">
        <v>1200</v>
      </c>
    </row>
    <row r="116" spans="1:7" ht="114.75">
      <c r="A116" s="1">
        <v>4</v>
      </c>
      <c r="B116" s="1" t="s">
        <v>939</v>
      </c>
      <c r="C116" s="3" t="s">
        <v>363</v>
      </c>
      <c r="D116" s="17" t="s">
        <v>1114</v>
      </c>
      <c r="F116" s="4">
        <v>3</v>
      </c>
      <c r="G116" s="22">
        <v>14.2</v>
      </c>
    </row>
    <row r="117" spans="1:7" ht="89.25">
      <c r="A117" s="1">
        <v>4</v>
      </c>
      <c r="B117" s="1" t="s">
        <v>939</v>
      </c>
      <c r="C117" s="3" t="s">
        <v>364</v>
      </c>
      <c r="D117" s="17" t="s">
        <v>1107</v>
      </c>
      <c r="F117" s="4">
        <v>3</v>
      </c>
      <c r="G117" s="22" t="s">
        <v>1201</v>
      </c>
    </row>
    <row r="118" spans="1:7" ht="89.25">
      <c r="A118" s="1">
        <v>4</v>
      </c>
      <c r="B118" s="1" t="s">
        <v>939</v>
      </c>
      <c r="C118" s="3" t="s">
        <v>364</v>
      </c>
      <c r="D118" s="2" t="s">
        <v>1108</v>
      </c>
      <c r="F118" s="4">
        <v>3</v>
      </c>
      <c r="G118" s="22" t="s">
        <v>1197</v>
      </c>
    </row>
    <row r="119" spans="1:7" ht="89.25">
      <c r="A119" s="1">
        <v>3</v>
      </c>
      <c r="B119" s="1" t="s">
        <v>939</v>
      </c>
      <c r="C119" s="3" t="s">
        <v>364</v>
      </c>
      <c r="D119" s="2" t="s">
        <v>1109</v>
      </c>
      <c r="F119" s="4">
        <v>3</v>
      </c>
      <c r="G119" s="22" t="s">
        <v>1172</v>
      </c>
    </row>
    <row r="120" spans="1:7" ht="89.25">
      <c r="A120" s="1">
        <v>4</v>
      </c>
      <c r="B120" s="1" t="s">
        <v>939</v>
      </c>
      <c r="C120" s="3" t="s">
        <v>364</v>
      </c>
      <c r="D120" s="2" t="s">
        <v>1109</v>
      </c>
      <c r="F120" s="4">
        <v>3</v>
      </c>
      <c r="G120" s="22" t="s">
        <v>1172</v>
      </c>
    </row>
    <row r="121" spans="1:7" ht="89.25">
      <c r="A121" s="1">
        <v>5</v>
      </c>
      <c r="B121" s="1" t="s">
        <v>939</v>
      </c>
      <c r="C121" s="3" t="s">
        <v>364</v>
      </c>
      <c r="D121" s="2" t="s">
        <v>1109</v>
      </c>
      <c r="F121" s="4">
        <v>3</v>
      </c>
      <c r="G121" s="22" t="s">
        <v>1172</v>
      </c>
    </row>
    <row r="122" spans="1:7" ht="89.25">
      <c r="A122" s="1">
        <v>4</v>
      </c>
      <c r="B122" s="1" t="s">
        <v>939</v>
      </c>
      <c r="C122" s="3" t="s">
        <v>364</v>
      </c>
      <c r="D122" s="2" t="s">
        <v>1110</v>
      </c>
      <c r="F122" s="4">
        <v>3</v>
      </c>
      <c r="G122" s="22" t="s">
        <v>1198</v>
      </c>
    </row>
    <row r="123" spans="1:7" ht="89.25">
      <c r="A123" s="1">
        <v>4</v>
      </c>
      <c r="B123" s="1" t="s">
        <v>939</v>
      </c>
      <c r="C123" s="3" t="s">
        <v>364</v>
      </c>
      <c r="D123" s="17" t="s">
        <v>1111</v>
      </c>
      <c r="F123" s="4">
        <v>2</v>
      </c>
      <c r="G123" s="22">
        <v>14.3</v>
      </c>
    </row>
    <row r="124" spans="1:7" ht="89.25">
      <c r="A124" s="1">
        <v>4</v>
      </c>
      <c r="B124" s="1" t="s">
        <v>939</v>
      </c>
      <c r="C124" s="3" t="s">
        <v>364</v>
      </c>
      <c r="D124" s="17" t="s">
        <v>311</v>
      </c>
      <c r="F124" s="4">
        <v>3</v>
      </c>
      <c r="G124" s="22">
        <v>14.1</v>
      </c>
    </row>
    <row r="125" spans="1:7" ht="89.25">
      <c r="A125" s="1">
        <v>4</v>
      </c>
      <c r="B125" s="1" t="s">
        <v>939</v>
      </c>
      <c r="C125" s="3" t="s">
        <v>364</v>
      </c>
      <c r="D125" s="17" t="s">
        <v>1112</v>
      </c>
      <c r="F125" s="4">
        <v>3</v>
      </c>
      <c r="G125" s="22" t="s">
        <v>1199</v>
      </c>
    </row>
    <row r="126" spans="1:7" ht="89.25">
      <c r="A126" s="1">
        <v>4</v>
      </c>
      <c r="B126" s="1" t="s">
        <v>939</v>
      </c>
      <c r="C126" s="3" t="s">
        <v>364</v>
      </c>
      <c r="D126" s="17" t="s">
        <v>1113</v>
      </c>
      <c r="F126" s="4">
        <v>3</v>
      </c>
      <c r="G126" s="22" t="s">
        <v>1200</v>
      </c>
    </row>
    <row r="127" spans="1:7" ht="89.25">
      <c r="A127" s="1">
        <v>4</v>
      </c>
      <c r="B127" s="1" t="s">
        <v>939</v>
      </c>
      <c r="C127" s="3" t="s">
        <v>364</v>
      </c>
      <c r="D127" s="17" t="s">
        <v>1114</v>
      </c>
      <c r="F127" s="4">
        <v>3</v>
      </c>
      <c r="G127" s="22">
        <v>14.2</v>
      </c>
    </row>
    <row r="128" spans="1:7" ht="89.25">
      <c r="B128" s="1" t="s">
        <v>939</v>
      </c>
      <c r="C128" s="3" t="s">
        <v>364</v>
      </c>
      <c r="D128" s="17" t="s">
        <v>1115</v>
      </c>
      <c r="F128" s="4">
        <v>2</v>
      </c>
    </row>
    <row r="129" spans="1:7" ht="89.25">
      <c r="B129" s="1" t="s">
        <v>939</v>
      </c>
      <c r="C129" s="3" t="s">
        <v>364</v>
      </c>
      <c r="D129" s="2" t="s">
        <v>987</v>
      </c>
      <c r="F129" s="4">
        <v>3</v>
      </c>
    </row>
    <row r="130" spans="1:7" ht="63.75">
      <c r="A130" s="1">
        <v>4</v>
      </c>
      <c r="B130" s="1" t="s">
        <v>939</v>
      </c>
      <c r="C130" s="3" t="s">
        <v>365</v>
      </c>
      <c r="D130" s="17" t="s">
        <v>1116</v>
      </c>
      <c r="F130" s="4">
        <v>3</v>
      </c>
      <c r="G130" s="22">
        <v>14.1</v>
      </c>
    </row>
    <row r="131" spans="1:7" ht="63.75">
      <c r="A131" s="1">
        <v>4</v>
      </c>
      <c r="B131" s="1" t="s">
        <v>939</v>
      </c>
      <c r="C131" s="3" t="s">
        <v>365</v>
      </c>
      <c r="D131" s="17" t="s">
        <v>1117</v>
      </c>
      <c r="F131" s="4">
        <v>3</v>
      </c>
      <c r="G131" s="22" t="s">
        <v>1202</v>
      </c>
    </row>
    <row r="132" spans="1:7" ht="63.75">
      <c r="A132" s="1">
        <v>4</v>
      </c>
      <c r="B132" s="1" t="s">
        <v>939</v>
      </c>
      <c r="C132" s="3" t="s">
        <v>365</v>
      </c>
      <c r="D132" s="2" t="s">
        <v>1118</v>
      </c>
      <c r="F132" s="4">
        <v>3</v>
      </c>
      <c r="G132" s="22" t="s">
        <v>1203</v>
      </c>
    </row>
    <row r="133" spans="1:7" ht="76.5">
      <c r="A133" s="1">
        <v>5</v>
      </c>
      <c r="B133" s="1" t="s">
        <v>939</v>
      </c>
      <c r="C133" s="3" t="s">
        <v>366</v>
      </c>
      <c r="D133" s="2" t="s">
        <v>312</v>
      </c>
      <c r="F133" s="4">
        <v>3</v>
      </c>
      <c r="G133" s="22" t="s">
        <v>1204</v>
      </c>
    </row>
    <row r="134" spans="1:7" ht="76.5">
      <c r="A134" s="1">
        <v>5</v>
      </c>
      <c r="B134" s="1" t="s">
        <v>939</v>
      </c>
      <c r="C134" s="3" t="s">
        <v>366</v>
      </c>
      <c r="D134" s="17" t="s">
        <v>572</v>
      </c>
      <c r="F134" s="4">
        <v>3</v>
      </c>
      <c r="G134" s="22" t="s">
        <v>1205</v>
      </c>
    </row>
    <row r="135" spans="1:7" ht="76.5">
      <c r="A135" s="1">
        <v>5</v>
      </c>
      <c r="B135" s="1" t="s">
        <v>939</v>
      </c>
      <c r="C135" s="3" t="s">
        <v>366</v>
      </c>
      <c r="D135" s="17" t="s">
        <v>573</v>
      </c>
      <c r="F135" s="4">
        <v>3</v>
      </c>
      <c r="G135" s="22">
        <v>17.899999999999999</v>
      </c>
    </row>
    <row r="136" spans="1:7" ht="76.5">
      <c r="A136" s="1">
        <v>5</v>
      </c>
      <c r="B136" s="1" t="s">
        <v>939</v>
      </c>
      <c r="C136" s="3" t="s">
        <v>366</v>
      </c>
      <c r="D136" s="17" t="s">
        <v>574</v>
      </c>
      <c r="F136" s="4">
        <v>3</v>
      </c>
      <c r="G136" s="22">
        <v>17.100000000000001</v>
      </c>
    </row>
    <row r="137" spans="1:7" ht="76.5">
      <c r="A137" s="1">
        <v>4</v>
      </c>
      <c r="B137" s="1" t="s">
        <v>939</v>
      </c>
      <c r="C137" s="3" t="s">
        <v>366</v>
      </c>
      <c r="D137" s="2" t="s">
        <v>575</v>
      </c>
      <c r="F137" s="4">
        <v>3</v>
      </c>
      <c r="G137" s="22" t="s">
        <v>1206</v>
      </c>
    </row>
    <row r="138" spans="1:7" ht="76.5">
      <c r="A138" s="1">
        <v>5</v>
      </c>
      <c r="B138" s="1" t="s">
        <v>939</v>
      </c>
      <c r="C138" s="3" t="s">
        <v>366</v>
      </c>
      <c r="D138" s="2" t="s">
        <v>576</v>
      </c>
      <c r="F138" s="4">
        <v>3</v>
      </c>
      <c r="G138" s="22" t="s">
        <v>1207</v>
      </c>
    </row>
    <row r="139" spans="1:7" ht="153">
      <c r="B139" s="1" t="s">
        <v>939</v>
      </c>
      <c r="C139" s="3" t="s">
        <v>1119</v>
      </c>
    </row>
    <row r="140" spans="1:7" ht="38.25">
      <c r="B140" s="1" t="s">
        <v>939</v>
      </c>
      <c r="C140" s="2" t="s">
        <v>587</v>
      </c>
    </row>
    <row r="141" spans="1:7" ht="89.25">
      <c r="B141" s="1" t="s">
        <v>939</v>
      </c>
      <c r="C141" s="3" t="s">
        <v>933</v>
      </c>
    </row>
    <row r="142" spans="1:7" ht="38.25">
      <c r="A142" s="1">
        <v>3</v>
      </c>
      <c r="B142" s="1" t="s">
        <v>940</v>
      </c>
      <c r="C142" s="2" t="s">
        <v>934</v>
      </c>
      <c r="D142" s="2" t="s">
        <v>577</v>
      </c>
      <c r="F142" s="4">
        <v>3</v>
      </c>
      <c r="G142" s="22" t="s">
        <v>1208</v>
      </c>
    </row>
    <row r="143" spans="1:7" ht="38.25">
      <c r="A143" s="1">
        <v>3</v>
      </c>
      <c r="B143" s="1" t="s">
        <v>940</v>
      </c>
      <c r="C143" s="2" t="s">
        <v>934</v>
      </c>
      <c r="D143" s="17" t="s">
        <v>579</v>
      </c>
      <c r="F143" s="4">
        <v>3</v>
      </c>
      <c r="G143" s="22">
        <v>9.1999999999999993</v>
      </c>
    </row>
    <row r="144" spans="1:7" ht="38.25">
      <c r="B144" s="1" t="s">
        <v>940</v>
      </c>
      <c r="C144" s="2" t="s">
        <v>934</v>
      </c>
      <c r="D144" s="17" t="s">
        <v>580</v>
      </c>
      <c r="F144" s="4">
        <v>3</v>
      </c>
    </row>
    <row r="145" spans="1:7" ht="38.25">
      <c r="A145" s="1">
        <v>3</v>
      </c>
      <c r="B145" s="1" t="s">
        <v>940</v>
      </c>
      <c r="C145" s="2" t="s">
        <v>934</v>
      </c>
      <c r="D145" s="17" t="s">
        <v>215</v>
      </c>
      <c r="F145" s="4">
        <v>3</v>
      </c>
      <c r="G145" s="22">
        <v>9.3000000000000007</v>
      </c>
    </row>
    <row r="146" spans="1:7" ht="38.25">
      <c r="A146" s="1">
        <v>3</v>
      </c>
      <c r="B146" s="1" t="s">
        <v>940</v>
      </c>
      <c r="C146" s="2" t="s">
        <v>934</v>
      </c>
      <c r="D146" s="2" t="s">
        <v>216</v>
      </c>
      <c r="F146" s="4">
        <v>3</v>
      </c>
      <c r="G146" s="22" t="s">
        <v>1209</v>
      </c>
    </row>
    <row r="147" spans="1:7" ht="38.25">
      <c r="A147" s="1">
        <v>3</v>
      </c>
      <c r="B147" s="1" t="s">
        <v>940</v>
      </c>
      <c r="C147" s="2" t="s">
        <v>934</v>
      </c>
      <c r="D147" s="2" t="s">
        <v>217</v>
      </c>
      <c r="F147" s="4">
        <v>3</v>
      </c>
      <c r="G147" s="22" t="s">
        <v>1210</v>
      </c>
    </row>
    <row r="148" spans="1:7" ht="38.25">
      <c r="A148" s="1">
        <v>5</v>
      </c>
      <c r="B148" s="1" t="s">
        <v>940</v>
      </c>
      <c r="C148" s="2" t="s">
        <v>934</v>
      </c>
      <c r="D148" s="17" t="s">
        <v>220</v>
      </c>
      <c r="F148" s="4">
        <v>3</v>
      </c>
      <c r="G148" s="22" t="s">
        <v>1211</v>
      </c>
    </row>
    <row r="149" spans="1:7" ht="51">
      <c r="A149" s="1">
        <v>3</v>
      </c>
      <c r="B149" s="1" t="s">
        <v>940</v>
      </c>
      <c r="C149" s="2" t="s">
        <v>935</v>
      </c>
      <c r="D149" s="17" t="s">
        <v>218</v>
      </c>
      <c r="F149" s="4">
        <v>2</v>
      </c>
      <c r="G149" s="22" t="s">
        <v>1212</v>
      </c>
    </row>
    <row r="150" spans="1:7" ht="51">
      <c r="A150" s="1">
        <v>3</v>
      </c>
      <c r="B150" s="1" t="s">
        <v>940</v>
      </c>
      <c r="C150" s="2" t="s">
        <v>935</v>
      </c>
      <c r="D150" s="17" t="s">
        <v>578</v>
      </c>
      <c r="F150" s="4">
        <v>3</v>
      </c>
      <c r="G150" s="22">
        <v>9.4</v>
      </c>
    </row>
    <row r="151" spans="1:7" ht="51">
      <c r="A151" s="1">
        <v>3</v>
      </c>
      <c r="B151" s="1" t="s">
        <v>940</v>
      </c>
      <c r="C151" s="2" t="s">
        <v>935</v>
      </c>
      <c r="D151" s="17" t="s">
        <v>579</v>
      </c>
      <c r="F151" s="4">
        <v>3</v>
      </c>
      <c r="G151" s="22">
        <v>9.1999999999999993</v>
      </c>
    </row>
    <row r="152" spans="1:7" ht="51">
      <c r="B152" s="1" t="s">
        <v>940</v>
      </c>
      <c r="C152" s="2" t="s">
        <v>935</v>
      </c>
      <c r="D152" s="17" t="s">
        <v>580</v>
      </c>
      <c r="F152" s="4">
        <v>3</v>
      </c>
    </row>
    <row r="153" spans="1:7" ht="51">
      <c r="A153" s="1">
        <v>3</v>
      </c>
      <c r="B153" s="1" t="s">
        <v>940</v>
      </c>
      <c r="C153" s="2" t="s">
        <v>935</v>
      </c>
      <c r="D153" s="17" t="s">
        <v>215</v>
      </c>
      <c r="F153" s="4">
        <v>3</v>
      </c>
      <c r="G153" s="22">
        <v>9.3000000000000007</v>
      </c>
    </row>
    <row r="154" spans="1:7" ht="51">
      <c r="A154" s="1">
        <v>3</v>
      </c>
      <c r="B154" s="1" t="s">
        <v>940</v>
      </c>
      <c r="C154" s="2" t="s">
        <v>935</v>
      </c>
      <c r="D154" s="2" t="s">
        <v>216</v>
      </c>
      <c r="F154" s="4">
        <v>3</v>
      </c>
      <c r="G154" s="22" t="s">
        <v>1209</v>
      </c>
    </row>
    <row r="155" spans="1:7" ht="51">
      <c r="B155" s="1" t="s">
        <v>940</v>
      </c>
      <c r="C155" s="2" t="s">
        <v>935</v>
      </c>
      <c r="D155" s="17" t="s">
        <v>219</v>
      </c>
      <c r="F155" s="4">
        <v>3</v>
      </c>
    </row>
    <row r="156" spans="1:7" ht="51">
      <c r="A156" s="1">
        <v>5</v>
      </c>
      <c r="B156" s="1" t="s">
        <v>940</v>
      </c>
      <c r="C156" s="2" t="s">
        <v>935</v>
      </c>
      <c r="D156" s="17" t="s">
        <v>220</v>
      </c>
      <c r="F156" s="4">
        <v>3</v>
      </c>
      <c r="G156" s="22" t="s">
        <v>1211</v>
      </c>
    </row>
    <row r="157" spans="1:7" ht="51">
      <c r="B157" s="1" t="s">
        <v>940</v>
      </c>
      <c r="C157" s="2" t="s">
        <v>936</v>
      </c>
      <c r="D157" s="2" t="s">
        <v>221</v>
      </c>
      <c r="F157" s="4">
        <v>3</v>
      </c>
    </row>
    <row r="158" spans="1:7" ht="51">
      <c r="A158" s="1">
        <v>5</v>
      </c>
      <c r="B158" s="1" t="s">
        <v>940</v>
      </c>
      <c r="C158" s="2" t="s">
        <v>936</v>
      </c>
      <c r="D158" s="17" t="s">
        <v>220</v>
      </c>
      <c r="F158" s="4">
        <v>3</v>
      </c>
      <c r="G158" s="22" t="s">
        <v>1211</v>
      </c>
    </row>
    <row r="159" spans="1:7" ht="51">
      <c r="A159" s="1">
        <v>5</v>
      </c>
      <c r="B159" s="1" t="s">
        <v>940</v>
      </c>
      <c r="C159" s="2" t="s">
        <v>936</v>
      </c>
      <c r="D159" s="17" t="s">
        <v>222</v>
      </c>
      <c r="F159" s="4">
        <v>3</v>
      </c>
      <c r="G159" s="22">
        <v>19.5</v>
      </c>
    </row>
    <row r="160" spans="1:7" ht="51">
      <c r="A160" s="1">
        <v>5</v>
      </c>
      <c r="B160" s="1" t="s">
        <v>940</v>
      </c>
      <c r="C160" s="2" t="s">
        <v>936</v>
      </c>
      <c r="D160" s="17" t="s">
        <v>223</v>
      </c>
      <c r="F160" s="4">
        <v>3</v>
      </c>
      <c r="G160" s="22" t="s">
        <v>1213</v>
      </c>
    </row>
    <row r="161" spans="2:6" ht="51">
      <c r="B161" s="1" t="s">
        <v>940</v>
      </c>
      <c r="C161" s="2" t="s">
        <v>936</v>
      </c>
      <c r="D161" s="17" t="s">
        <v>224</v>
      </c>
      <c r="F161" s="4">
        <v>3</v>
      </c>
    </row>
  </sheetData>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worksheet>
</file>

<file path=xl/worksheets/sheet6.xml><?xml version="1.0" encoding="utf-8"?>
<worksheet xmlns="http://schemas.openxmlformats.org/spreadsheetml/2006/main" xmlns:r="http://schemas.openxmlformats.org/officeDocument/2006/relationships">
  <sheetPr codeName="Sheet8" enableFormatConditionsCalculation="0">
    <tabColor indexed="28"/>
  </sheetPr>
  <dimension ref="A1:G76"/>
  <sheetViews>
    <sheetView topLeftCell="B2" zoomScaleNormal="100" zoomScaleSheetLayoutView="100" workbookViewId="0">
      <selection activeCell="C4" sqref="C4"/>
    </sheetView>
  </sheetViews>
  <sheetFormatPr defaultRowHeight="12.75"/>
  <cols>
    <col min="1" max="1" width="8.42578125" style="1" customWidth="1"/>
    <col min="2" max="2" width="8" style="1" bestFit="1" customWidth="1"/>
    <col min="3" max="3" width="48.7109375" style="2" customWidth="1"/>
    <col min="4" max="4" width="50.7109375" style="2" customWidth="1"/>
    <col min="5" max="5" width="51" style="1" customWidth="1"/>
    <col min="6" max="6" width="6.42578125" style="4" bestFit="1" customWidth="1"/>
    <col min="7" max="7" width="11" style="32" customWidth="1"/>
    <col min="8" max="16384" width="9.140625" style="8"/>
  </cols>
  <sheetData>
    <row r="1" spans="1:7" ht="18.75">
      <c r="A1" s="5" t="s">
        <v>594</v>
      </c>
      <c r="B1" s="6"/>
      <c r="C1" s="7"/>
      <c r="D1" s="7"/>
      <c r="E1" s="7"/>
      <c r="F1" s="26"/>
      <c r="G1" s="30"/>
    </row>
    <row r="2" spans="1:7" ht="18.75">
      <c r="A2" s="5" t="s">
        <v>1047</v>
      </c>
      <c r="B2" s="6"/>
      <c r="C2" s="7"/>
      <c r="D2" s="7"/>
      <c r="E2" s="7"/>
      <c r="F2" s="26"/>
      <c r="G2" s="30"/>
    </row>
    <row r="3" spans="1:7" s="11" customFormat="1" ht="38.25">
      <c r="A3" s="9" t="s">
        <v>1305</v>
      </c>
      <c r="B3" s="9" t="s">
        <v>1039</v>
      </c>
      <c r="C3" s="10" t="s">
        <v>1041</v>
      </c>
      <c r="D3" s="9" t="s">
        <v>1044</v>
      </c>
      <c r="E3" s="9" t="s">
        <v>941</v>
      </c>
      <c r="F3" s="19" t="s">
        <v>833</v>
      </c>
      <c r="G3" s="31" t="s">
        <v>1040</v>
      </c>
    </row>
    <row r="4" spans="1:7" ht="25.5">
      <c r="A4" s="1">
        <v>3</v>
      </c>
      <c r="B4" s="1" t="s">
        <v>1048</v>
      </c>
      <c r="C4" s="3" t="s">
        <v>943</v>
      </c>
      <c r="D4" s="2" t="s">
        <v>964</v>
      </c>
      <c r="E4" s="2" t="s">
        <v>1043</v>
      </c>
      <c r="F4" s="4">
        <v>2</v>
      </c>
      <c r="G4" s="32" t="s">
        <v>29</v>
      </c>
    </row>
    <row r="5" spans="1:7" ht="25.5">
      <c r="A5" s="1">
        <v>3</v>
      </c>
      <c r="B5" s="1" t="s">
        <v>1048</v>
      </c>
      <c r="C5" s="3" t="s">
        <v>943</v>
      </c>
      <c r="D5" s="2" t="s">
        <v>965</v>
      </c>
      <c r="E5" s="2"/>
      <c r="F5" s="4">
        <v>2</v>
      </c>
      <c r="G5" s="32" t="s">
        <v>30</v>
      </c>
    </row>
    <row r="6" spans="1:7" ht="25.5">
      <c r="B6" s="1" t="s">
        <v>1048</v>
      </c>
      <c r="C6" s="3" t="s">
        <v>943</v>
      </c>
      <c r="D6" s="2" t="s">
        <v>966</v>
      </c>
      <c r="E6" s="2"/>
      <c r="F6" s="4">
        <v>3</v>
      </c>
    </row>
    <row r="7" spans="1:7" ht="76.5">
      <c r="A7" s="1">
        <v>3</v>
      </c>
      <c r="B7" s="1" t="s">
        <v>1048</v>
      </c>
      <c r="C7" s="3" t="s">
        <v>944</v>
      </c>
      <c r="D7" s="17" t="s">
        <v>967</v>
      </c>
      <c r="F7" s="4">
        <v>1</v>
      </c>
      <c r="G7" s="32" t="s">
        <v>31</v>
      </c>
    </row>
    <row r="8" spans="1:7" ht="76.5">
      <c r="A8" s="1">
        <v>3</v>
      </c>
      <c r="B8" s="1" t="s">
        <v>1048</v>
      </c>
      <c r="C8" s="3" t="s">
        <v>944</v>
      </c>
      <c r="D8" s="17" t="s">
        <v>968</v>
      </c>
      <c r="F8" s="4">
        <v>3</v>
      </c>
      <c r="G8" s="32" t="s">
        <v>32</v>
      </c>
    </row>
    <row r="9" spans="1:7" ht="127.5">
      <c r="B9" s="1" t="s">
        <v>1048</v>
      </c>
      <c r="C9" s="3" t="s">
        <v>945</v>
      </c>
      <c r="D9" s="17" t="s">
        <v>969</v>
      </c>
      <c r="F9" s="4">
        <v>2</v>
      </c>
    </row>
    <row r="10" spans="1:7" ht="127.5">
      <c r="B10" s="1" t="s">
        <v>1048</v>
      </c>
      <c r="C10" s="3" t="s">
        <v>945</v>
      </c>
      <c r="D10" s="2" t="s">
        <v>970</v>
      </c>
      <c r="F10" s="4">
        <v>2</v>
      </c>
    </row>
    <row r="11" spans="1:7" ht="51">
      <c r="B11" s="1" t="s">
        <v>937</v>
      </c>
      <c r="C11" s="2" t="s">
        <v>946</v>
      </c>
    </row>
    <row r="12" spans="1:7" ht="63.75">
      <c r="A12" s="1">
        <v>1</v>
      </c>
      <c r="B12" s="1" t="s">
        <v>937</v>
      </c>
      <c r="C12" s="3" t="s">
        <v>947</v>
      </c>
      <c r="D12" s="17" t="s">
        <v>971</v>
      </c>
      <c r="F12" s="4">
        <v>2</v>
      </c>
      <c r="G12" s="32" t="s">
        <v>33</v>
      </c>
    </row>
    <row r="13" spans="1:7" ht="63.75">
      <c r="A13" s="1">
        <v>1</v>
      </c>
      <c r="B13" s="1" t="s">
        <v>937</v>
      </c>
      <c r="C13" s="3" t="s">
        <v>947</v>
      </c>
      <c r="D13" s="17" t="s">
        <v>972</v>
      </c>
      <c r="F13" s="4">
        <v>3</v>
      </c>
      <c r="G13" s="32" t="s">
        <v>34</v>
      </c>
    </row>
    <row r="14" spans="1:7" ht="25.5">
      <c r="A14" s="1">
        <v>1</v>
      </c>
      <c r="B14" s="1" t="s">
        <v>937</v>
      </c>
      <c r="C14" s="3" t="s">
        <v>948</v>
      </c>
      <c r="D14" s="2" t="s">
        <v>1120</v>
      </c>
      <c r="F14" s="4">
        <v>2</v>
      </c>
      <c r="G14" s="32" t="s">
        <v>22</v>
      </c>
    </row>
    <row r="15" spans="1:7" ht="25.5">
      <c r="A15" s="1">
        <v>2</v>
      </c>
      <c r="B15" s="1" t="s">
        <v>937</v>
      </c>
      <c r="C15" s="3" t="s">
        <v>948</v>
      </c>
      <c r="D15" s="2" t="s">
        <v>1120</v>
      </c>
      <c r="F15" s="4">
        <v>2</v>
      </c>
      <c r="G15" s="32" t="s">
        <v>22</v>
      </c>
    </row>
    <row r="16" spans="1:7" ht="25.5">
      <c r="A16" s="1">
        <v>1</v>
      </c>
      <c r="B16" s="1" t="s">
        <v>937</v>
      </c>
      <c r="C16" s="3" t="s">
        <v>948</v>
      </c>
      <c r="D16" s="2" t="s">
        <v>1004</v>
      </c>
      <c r="F16" s="4">
        <v>2</v>
      </c>
      <c r="G16" s="32" t="s">
        <v>35</v>
      </c>
    </row>
    <row r="17" spans="1:7" ht="51">
      <c r="B17" s="1" t="s">
        <v>937</v>
      </c>
      <c r="C17" s="3" t="s">
        <v>540</v>
      </c>
    </row>
    <row r="18" spans="1:7" ht="38.25">
      <c r="B18" s="1" t="s">
        <v>937</v>
      </c>
      <c r="C18" s="2" t="s">
        <v>541</v>
      </c>
    </row>
    <row r="19" spans="1:7" ht="25.5">
      <c r="B19" s="1" t="s">
        <v>937</v>
      </c>
      <c r="C19" s="3" t="s">
        <v>542</v>
      </c>
    </row>
    <row r="20" spans="1:7" ht="25.5">
      <c r="B20" s="1" t="s">
        <v>937</v>
      </c>
      <c r="C20" s="3" t="s">
        <v>14</v>
      </c>
    </row>
    <row r="21" spans="1:7" ht="76.5">
      <c r="A21" s="1">
        <v>1</v>
      </c>
      <c r="B21" s="1" t="s">
        <v>937</v>
      </c>
      <c r="C21" s="3" t="s">
        <v>15</v>
      </c>
      <c r="D21" s="17" t="s">
        <v>1121</v>
      </c>
      <c r="F21" s="4">
        <v>1</v>
      </c>
      <c r="G21" s="32" t="s">
        <v>36</v>
      </c>
    </row>
    <row r="22" spans="1:7" ht="76.5">
      <c r="A22" s="1">
        <v>1</v>
      </c>
      <c r="B22" s="1" t="s">
        <v>937</v>
      </c>
      <c r="C22" s="3" t="s">
        <v>15</v>
      </c>
      <c r="D22" s="2" t="s">
        <v>1122</v>
      </c>
      <c r="F22" s="4">
        <v>3</v>
      </c>
      <c r="G22" s="32" t="s">
        <v>37</v>
      </c>
    </row>
    <row r="23" spans="1:7" ht="76.5">
      <c r="B23" s="1" t="s">
        <v>937</v>
      </c>
      <c r="C23" s="3" t="s">
        <v>16</v>
      </c>
      <c r="D23" s="2" t="s">
        <v>1123</v>
      </c>
      <c r="F23" s="4">
        <v>3</v>
      </c>
    </row>
    <row r="24" spans="1:7" ht="76.5">
      <c r="A24" s="1">
        <v>1</v>
      </c>
      <c r="B24" s="1" t="s">
        <v>937</v>
      </c>
      <c r="C24" s="3" t="s">
        <v>16</v>
      </c>
      <c r="D24" s="17" t="s">
        <v>974</v>
      </c>
      <c r="F24" s="4">
        <v>1</v>
      </c>
      <c r="G24" s="32" t="s">
        <v>26</v>
      </c>
    </row>
    <row r="25" spans="1:7" ht="76.5">
      <c r="A25" s="1">
        <v>1</v>
      </c>
      <c r="B25" s="1" t="s">
        <v>937</v>
      </c>
      <c r="C25" s="3" t="s">
        <v>16</v>
      </c>
      <c r="D25" s="17" t="s">
        <v>975</v>
      </c>
      <c r="F25" s="4">
        <v>1</v>
      </c>
      <c r="G25" s="32" t="s">
        <v>38</v>
      </c>
    </row>
    <row r="26" spans="1:7" ht="76.5">
      <c r="A26" s="1">
        <v>1</v>
      </c>
      <c r="B26" s="1" t="s">
        <v>938</v>
      </c>
      <c r="C26" s="3" t="s">
        <v>17</v>
      </c>
      <c r="D26" s="2" t="s">
        <v>976</v>
      </c>
      <c r="F26" s="4">
        <v>1</v>
      </c>
      <c r="G26" s="32" t="s">
        <v>23</v>
      </c>
    </row>
    <row r="27" spans="1:7" ht="76.5">
      <c r="A27" s="1">
        <v>2</v>
      </c>
      <c r="B27" s="1" t="s">
        <v>938</v>
      </c>
      <c r="C27" s="3" t="s">
        <v>17</v>
      </c>
      <c r="D27" s="2" t="s">
        <v>976</v>
      </c>
      <c r="F27" s="4">
        <v>1</v>
      </c>
      <c r="G27" s="32" t="s">
        <v>23</v>
      </c>
    </row>
    <row r="28" spans="1:7" ht="76.5">
      <c r="A28" s="1">
        <v>2</v>
      </c>
      <c r="B28" s="1" t="s">
        <v>938</v>
      </c>
      <c r="C28" s="3" t="s">
        <v>17</v>
      </c>
      <c r="D28" s="2" t="s">
        <v>977</v>
      </c>
      <c r="F28" s="4">
        <v>3</v>
      </c>
      <c r="G28" s="32" t="s">
        <v>39</v>
      </c>
    </row>
    <row r="29" spans="1:7" ht="76.5">
      <c r="B29" s="1" t="s">
        <v>938</v>
      </c>
      <c r="C29" s="3" t="s">
        <v>17</v>
      </c>
      <c r="D29" s="17" t="s">
        <v>1005</v>
      </c>
      <c r="F29" s="4">
        <v>1</v>
      </c>
    </row>
    <row r="30" spans="1:7" ht="76.5">
      <c r="A30" s="1">
        <v>2</v>
      </c>
      <c r="B30" s="1" t="s">
        <v>938</v>
      </c>
      <c r="C30" s="3" t="s">
        <v>17</v>
      </c>
      <c r="D30" s="17" t="s">
        <v>978</v>
      </c>
      <c r="F30" s="4">
        <v>3</v>
      </c>
      <c r="G30" s="32" t="s">
        <v>40</v>
      </c>
    </row>
    <row r="31" spans="1:7" ht="76.5">
      <c r="A31" s="1">
        <v>1</v>
      </c>
      <c r="B31" s="1" t="s">
        <v>938</v>
      </c>
      <c r="C31" s="3" t="s">
        <v>17</v>
      </c>
      <c r="D31" s="2" t="s">
        <v>979</v>
      </c>
      <c r="F31" s="4">
        <v>2</v>
      </c>
      <c r="G31" s="32" t="s">
        <v>24</v>
      </c>
    </row>
    <row r="32" spans="1:7" ht="76.5">
      <c r="A32" s="1">
        <v>2</v>
      </c>
      <c r="B32" s="1" t="s">
        <v>938</v>
      </c>
      <c r="C32" s="3" t="s">
        <v>17</v>
      </c>
      <c r="D32" s="2" t="s">
        <v>979</v>
      </c>
      <c r="F32" s="4">
        <v>2</v>
      </c>
      <c r="G32" s="32" t="s">
        <v>24</v>
      </c>
    </row>
    <row r="33" spans="1:7" ht="76.5">
      <c r="A33" s="1">
        <v>2</v>
      </c>
      <c r="B33" s="1" t="s">
        <v>938</v>
      </c>
      <c r="C33" s="3" t="s">
        <v>17</v>
      </c>
      <c r="D33" s="17" t="s">
        <v>980</v>
      </c>
      <c r="F33" s="4">
        <v>3</v>
      </c>
      <c r="G33" s="32" t="s">
        <v>41</v>
      </c>
    </row>
    <row r="34" spans="1:7" ht="102">
      <c r="A34" s="1">
        <v>3</v>
      </c>
      <c r="B34" s="1" t="s">
        <v>938</v>
      </c>
      <c r="C34" s="3" t="s">
        <v>18</v>
      </c>
      <c r="D34" s="2" t="s">
        <v>981</v>
      </c>
      <c r="F34" s="4">
        <v>3</v>
      </c>
      <c r="G34" s="32" t="s">
        <v>42</v>
      </c>
    </row>
    <row r="35" spans="1:7" ht="102">
      <c r="A35" s="1">
        <v>2</v>
      </c>
      <c r="B35" s="1" t="s">
        <v>938</v>
      </c>
      <c r="C35" s="3" t="s">
        <v>18</v>
      </c>
      <c r="D35" s="2" t="s">
        <v>977</v>
      </c>
      <c r="F35" s="4">
        <v>3</v>
      </c>
      <c r="G35" s="32" t="s">
        <v>39</v>
      </c>
    </row>
    <row r="36" spans="1:7" ht="102">
      <c r="A36" s="1">
        <v>1</v>
      </c>
      <c r="B36" s="1" t="s">
        <v>938</v>
      </c>
      <c r="C36" s="3" t="s">
        <v>18</v>
      </c>
      <c r="D36" s="2" t="s">
        <v>1006</v>
      </c>
      <c r="F36" s="4">
        <v>2</v>
      </c>
      <c r="G36" s="32" t="s">
        <v>25</v>
      </c>
    </row>
    <row r="37" spans="1:7" ht="102">
      <c r="A37" s="1">
        <v>2</v>
      </c>
      <c r="B37" s="1" t="s">
        <v>938</v>
      </c>
      <c r="C37" s="3" t="s">
        <v>18</v>
      </c>
      <c r="D37" s="2" t="s">
        <v>1006</v>
      </c>
      <c r="F37" s="4">
        <v>2</v>
      </c>
      <c r="G37" s="32" t="s">
        <v>25</v>
      </c>
    </row>
    <row r="38" spans="1:7" ht="102">
      <c r="A38" s="1">
        <v>1</v>
      </c>
      <c r="B38" s="1" t="s">
        <v>938</v>
      </c>
      <c r="C38" s="3" t="s">
        <v>18</v>
      </c>
      <c r="D38" s="2" t="s">
        <v>976</v>
      </c>
      <c r="F38" s="4">
        <v>1</v>
      </c>
      <c r="G38" s="32" t="s">
        <v>23</v>
      </c>
    </row>
    <row r="39" spans="1:7" ht="102">
      <c r="A39" s="1">
        <v>2</v>
      </c>
      <c r="B39" s="1" t="s">
        <v>938</v>
      </c>
      <c r="C39" s="3" t="s">
        <v>18</v>
      </c>
      <c r="D39" s="2" t="s">
        <v>976</v>
      </c>
      <c r="F39" s="4">
        <v>1</v>
      </c>
      <c r="G39" s="32" t="s">
        <v>23</v>
      </c>
    </row>
    <row r="40" spans="1:7" ht="102">
      <c r="A40" s="1">
        <v>3</v>
      </c>
      <c r="B40" s="1" t="s">
        <v>938</v>
      </c>
      <c r="C40" s="3" t="s">
        <v>18</v>
      </c>
      <c r="D40" s="17" t="s">
        <v>982</v>
      </c>
      <c r="F40" s="4">
        <v>2</v>
      </c>
    </row>
    <row r="41" spans="1:7" ht="102">
      <c r="A41" s="1">
        <v>1</v>
      </c>
      <c r="B41" s="1" t="s">
        <v>938</v>
      </c>
      <c r="C41" s="3" t="s">
        <v>18</v>
      </c>
      <c r="D41" s="17" t="s">
        <v>983</v>
      </c>
      <c r="F41" s="4">
        <v>3</v>
      </c>
      <c r="G41" s="32" t="s">
        <v>26</v>
      </c>
    </row>
    <row r="42" spans="1:7" ht="102">
      <c r="A42" s="1">
        <v>2</v>
      </c>
      <c r="B42" s="1" t="s">
        <v>938</v>
      </c>
      <c r="C42" s="3" t="s">
        <v>18</v>
      </c>
      <c r="D42" s="17" t="s">
        <v>983</v>
      </c>
      <c r="F42" s="4">
        <v>3</v>
      </c>
      <c r="G42" s="32" t="s">
        <v>26</v>
      </c>
    </row>
    <row r="43" spans="1:7" ht="153">
      <c r="A43" s="1">
        <v>3</v>
      </c>
      <c r="B43" s="1" t="s">
        <v>938</v>
      </c>
      <c r="C43" s="3" t="s">
        <v>546</v>
      </c>
      <c r="D43" s="2" t="s">
        <v>981</v>
      </c>
      <c r="F43" s="4">
        <v>3</v>
      </c>
      <c r="G43" s="32" t="s">
        <v>42</v>
      </c>
    </row>
    <row r="44" spans="1:7" ht="153">
      <c r="B44" s="1" t="s">
        <v>938</v>
      </c>
      <c r="C44" s="3" t="s">
        <v>546</v>
      </c>
      <c r="D44" s="2" t="s">
        <v>984</v>
      </c>
      <c r="F44" s="4">
        <v>2</v>
      </c>
    </row>
    <row r="45" spans="1:7" ht="38.25">
      <c r="B45" s="1" t="s">
        <v>938</v>
      </c>
      <c r="C45" s="2" t="s">
        <v>547</v>
      </c>
      <c r="D45" s="17" t="s">
        <v>985</v>
      </c>
      <c r="F45" s="4">
        <v>0</v>
      </c>
    </row>
    <row r="46" spans="1:7" ht="38.25">
      <c r="B46" s="1" t="s">
        <v>938</v>
      </c>
      <c r="C46" s="2" t="s">
        <v>547</v>
      </c>
      <c r="D46" s="17" t="s">
        <v>986</v>
      </c>
      <c r="F46" s="4">
        <v>2</v>
      </c>
    </row>
    <row r="47" spans="1:7" ht="76.5">
      <c r="B47" s="1" t="s">
        <v>938</v>
      </c>
      <c r="C47" s="3" t="s">
        <v>552</v>
      </c>
    </row>
    <row r="48" spans="1:7" ht="76.5">
      <c r="B48" s="1" t="s">
        <v>938</v>
      </c>
      <c r="C48" s="3" t="s">
        <v>553</v>
      </c>
    </row>
    <row r="49" spans="1:7" ht="153">
      <c r="B49" s="1" t="s">
        <v>938</v>
      </c>
      <c r="C49" s="3" t="s">
        <v>1020</v>
      </c>
    </row>
    <row r="50" spans="1:7" ht="38.25">
      <c r="A50" s="1">
        <v>3</v>
      </c>
      <c r="B50" s="1" t="s">
        <v>938</v>
      </c>
      <c r="C50" s="3" t="s">
        <v>960</v>
      </c>
      <c r="D50" s="2" t="s">
        <v>981</v>
      </c>
      <c r="F50" s="4">
        <v>3</v>
      </c>
      <c r="G50" s="32" t="s">
        <v>42</v>
      </c>
    </row>
    <row r="51" spans="1:7" ht="89.25">
      <c r="A51" s="1">
        <v>3</v>
      </c>
      <c r="B51" s="1" t="s">
        <v>938</v>
      </c>
      <c r="C51" s="3" t="s">
        <v>961</v>
      </c>
      <c r="D51" s="2" t="s">
        <v>981</v>
      </c>
      <c r="F51" s="4">
        <v>3</v>
      </c>
      <c r="G51" s="32" t="s">
        <v>42</v>
      </c>
    </row>
    <row r="52" spans="1:7" ht="76.5">
      <c r="B52" s="1" t="s">
        <v>938</v>
      </c>
      <c r="C52" s="3" t="s">
        <v>962</v>
      </c>
    </row>
    <row r="53" spans="1:7" ht="76.5">
      <c r="B53" s="1" t="s">
        <v>938</v>
      </c>
      <c r="C53" s="3" t="s">
        <v>963</v>
      </c>
    </row>
    <row r="54" spans="1:7" ht="89.25">
      <c r="B54" s="1" t="s">
        <v>938</v>
      </c>
      <c r="C54" s="3" t="s">
        <v>613</v>
      </c>
    </row>
    <row r="55" spans="1:7" ht="51">
      <c r="A55" s="1">
        <v>3</v>
      </c>
      <c r="B55" s="1" t="s">
        <v>939</v>
      </c>
      <c r="C55" s="2" t="s">
        <v>614</v>
      </c>
      <c r="D55" s="2" t="s">
        <v>987</v>
      </c>
      <c r="F55" s="4">
        <v>2</v>
      </c>
      <c r="G55" s="32" t="s">
        <v>27</v>
      </c>
    </row>
    <row r="56" spans="1:7" ht="51">
      <c r="A56" s="1">
        <v>4</v>
      </c>
      <c r="B56" s="1" t="s">
        <v>939</v>
      </c>
      <c r="C56" s="2" t="s">
        <v>614</v>
      </c>
      <c r="D56" s="2" t="s">
        <v>987</v>
      </c>
      <c r="F56" s="4">
        <v>2</v>
      </c>
      <c r="G56" s="32" t="s">
        <v>27</v>
      </c>
    </row>
    <row r="57" spans="1:7" ht="89.25">
      <c r="A57" s="1">
        <v>1</v>
      </c>
      <c r="B57" s="1" t="s">
        <v>939</v>
      </c>
      <c r="C57" s="3" t="s">
        <v>615</v>
      </c>
      <c r="D57" s="17" t="s">
        <v>988</v>
      </c>
      <c r="F57" s="4">
        <v>2</v>
      </c>
      <c r="G57" s="32" t="s">
        <v>43</v>
      </c>
    </row>
    <row r="58" spans="1:7" ht="89.25">
      <c r="A58" s="1">
        <v>5</v>
      </c>
      <c r="B58" s="1" t="s">
        <v>939</v>
      </c>
      <c r="C58" s="3" t="s">
        <v>615</v>
      </c>
      <c r="D58" s="2" t="s">
        <v>989</v>
      </c>
      <c r="F58" s="4">
        <v>2</v>
      </c>
      <c r="G58" s="32" t="s">
        <v>44</v>
      </c>
    </row>
    <row r="59" spans="1:7" ht="114.75">
      <c r="B59" s="1" t="s">
        <v>939</v>
      </c>
      <c r="C59" s="3" t="s">
        <v>1021</v>
      </c>
      <c r="D59" s="17" t="s">
        <v>990</v>
      </c>
      <c r="F59" s="4">
        <v>1</v>
      </c>
    </row>
    <row r="60" spans="1:7" ht="114.75">
      <c r="A60" s="1">
        <v>4</v>
      </c>
      <c r="C60" s="3" t="s">
        <v>1021</v>
      </c>
      <c r="D60" s="2" t="s">
        <v>991</v>
      </c>
      <c r="F60" s="4">
        <v>1</v>
      </c>
      <c r="G60" s="32" t="s">
        <v>45</v>
      </c>
    </row>
    <row r="61" spans="1:7" ht="38.25">
      <c r="B61" s="1" t="s">
        <v>939</v>
      </c>
      <c r="C61" s="3" t="s">
        <v>616</v>
      </c>
    </row>
    <row r="62" spans="1:7" ht="51">
      <c r="B62" s="1" t="s">
        <v>939</v>
      </c>
      <c r="C62" s="2" t="s">
        <v>617</v>
      </c>
    </row>
    <row r="63" spans="1:7" ht="89.25">
      <c r="A63" s="1">
        <v>4</v>
      </c>
      <c r="B63" s="1" t="s">
        <v>939</v>
      </c>
      <c r="C63" s="3" t="s">
        <v>588</v>
      </c>
      <c r="D63" s="17" t="s">
        <v>596</v>
      </c>
      <c r="F63" s="4">
        <v>1</v>
      </c>
      <c r="G63" s="32" t="s">
        <v>46</v>
      </c>
    </row>
    <row r="64" spans="1:7" ht="51">
      <c r="B64" s="1" t="s">
        <v>939</v>
      </c>
      <c r="C64" s="2" t="s">
        <v>589</v>
      </c>
    </row>
    <row r="65" spans="1:7" ht="63.75">
      <c r="A65" s="1">
        <v>4</v>
      </c>
      <c r="B65" s="1" t="s">
        <v>939</v>
      </c>
      <c r="C65" s="2" t="s">
        <v>590</v>
      </c>
      <c r="D65" s="2" t="s">
        <v>994</v>
      </c>
      <c r="F65" s="4">
        <v>1</v>
      </c>
      <c r="G65" s="32" t="s">
        <v>45</v>
      </c>
    </row>
    <row r="66" spans="1:7" ht="153">
      <c r="A66" s="1">
        <v>4</v>
      </c>
      <c r="B66" s="1" t="s">
        <v>940</v>
      </c>
      <c r="C66" s="3" t="s">
        <v>791</v>
      </c>
      <c r="D66" s="2" t="s">
        <v>995</v>
      </c>
      <c r="F66" s="4">
        <v>2</v>
      </c>
      <c r="G66" s="32" t="s">
        <v>47</v>
      </c>
    </row>
    <row r="67" spans="1:7" ht="153">
      <c r="A67" s="1">
        <v>4</v>
      </c>
      <c r="B67" s="1" t="s">
        <v>940</v>
      </c>
      <c r="C67" s="3" t="s">
        <v>791</v>
      </c>
      <c r="D67" s="17" t="s">
        <v>996</v>
      </c>
      <c r="F67" s="4">
        <v>1</v>
      </c>
      <c r="G67" s="32" t="s">
        <v>48</v>
      </c>
    </row>
    <row r="68" spans="1:7" ht="51">
      <c r="A68" s="1">
        <v>4</v>
      </c>
      <c r="B68" s="1" t="s">
        <v>940</v>
      </c>
      <c r="C68" s="2" t="s">
        <v>591</v>
      </c>
      <c r="D68" s="17" t="s">
        <v>997</v>
      </c>
      <c r="F68" s="4">
        <v>3</v>
      </c>
      <c r="G68" s="32" t="s">
        <v>49</v>
      </c>
    </row>
    <row r="69" spans="1:7" ht="51">
      <c r="A69" s="1">
        <v>4</v>
      </c>
      <c r="B69" s="1" t="s">
        <v>940</v>
      </c>
      <c r="C69" s="2" t="s">
        <v>591</v>
      </c>
      <c r="D69" s="17" t="s">
        <v>998</v>
      </c>
      <c r="F69" s="4">
        <v>3</v>
      </c>
      <c r="G69" s="32" t="s">
        <v>50</v>
      </c>
    </row>
    <row r="70" spans="1:7" ht="51">
      <c r="A70" s="1">
        <v>4</v>
      </c>
      <c r="B70" s="1" t="s">
        <v>940</v>
      </c>
      <c r="C70" s="2" t="s">
        <v>591</v>
      </c>
      <c r="D70" s="2" t="s">
        <v>999</v>
      </c>
      <c r="F70" s="4">
        <v>1</v>
      </c>
      <c r="G70" s="32" t="s">
        <v>48</v>
      </c>
    </row>
    <row r="71" spans="1:7" ht="63.75">
      <c r="B71" s="1" t="s">
        <v>940</v>
      </c>
      <c r="C71" s="2" t="s">
        <v>592</v>
      </c>
      <c r="D71" s="2" t="s">
        <v>1000</v>
      </c>
      <c r="F71" s="4">
        <v>3</v>
      </c>
    </row>
    <row r="72" spans="1:7" ht="63.75">
      <c r="B72" s="1" t="s">
        <v>940</v>
      </c>
      <c r="C72" s="2" t="s">
        <v>592</v>
      </c>
      <c r="D72" s="2" t="s">
        <v>1001</v>
      </c>
      <c r="F72" s="4">
        <v>2</v>
      </c>
    </row>
    <row r="73" spans="1:7" ht="63.75">
      <c r="A73" s="1">
        <v>3</v>
      </c>
      <c r="B73" s="1" t="s">
        <v>940</v>
      </c>
      <c r="C73" s="2" t="s">
        <v>592</v>
      </c>
      <c r="D73" s="17" t="s">
        <v>1002</v>
      </c>
      <c r="F73" s="4">
        <v>1</v>
      </c>
      <c r="G73" s="32" t="s">
        <v>51</v>
      </c>
    </row>
    <row r="74" spans="1:7" ht="63.75">
      <c r="A74" s="1">
        <v>3</v>
      </c>
      <c r="B74" s="1" t="s">
        <v>940</v>
      </c>
      <c r="C74" s="2" t="s">
        <v>592</v>
      </c>
      <c r="D74" s="2" t="s">
        <v>1003</v>
      </c>
      <c r="F74" s="4">
        <v>3</v>
      </c>
      <c r="G74" s="32" t="s">
        <v>28</v>
      </c>
    </row>
    <row r="75" spans="1:7" ht="63.75">
      <c r="A75" s="1">
        <v>4</v>
      </c>
      <c r="B75" s="1" t="s">
        <v>940</v>
      </c>
      <c r="C75" s="2" t="s">
        <v>592</v>
      </c>
      <c r="D75" s="2" t="s">
        <v>1003</v>
      </c>
      <c r="F75" s="4">
        <v>3</v>
      </c>
      <c r="G75" s="32" t="s">
        <v>28</v>
      </c>
    </row>
    <row r="76" spans="1:7" ht="25.5">
      <c r="B76" s="1" t="s">
        <v>940</v>
      </c>
      <c r="C76" s="2" t="s">
        <v>593</v>
      </c>
    </row>
  </sheetData>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worksheet>
</file>

<file path=xl/worksheets/sheet7.xml><?xml version="1.0" encoding="utf-8"?>
<worksheet xmlns="http://schemas.openxmlformats.org/spreadsheetml/2006/main" xmlns:r="http://schemas.openxmlformats.org/officeDocument/2006/relationships">
  <sheetPr codeName="Sheet9" enableFormatConditionsCalculation="0">
    <tabColor indexed="44"/>
  </sheetPr>
  <dimension ref="A1:G111"/>
  <sheetViews>
    <sheetView topLeftCell="B1" zoomScaleNormal="100" zoomScaleSheetLayoutView="100" workbookViewId="0">
      <selection activeCell="C4" sqref="C4"/>
    </sheetView>
  </sheetViews>
  <sheetFormatPr defaultRowHeight="12.75"/>
  <cols>
    <col min="1" max="1" width="8.42578125" style="1" customWidth="1"/>
    <col min="2" max="2" width="8" style="1" bestFit="1" customWidth="1"/>
    <col min="3" max="3" width="48.7109375" style="2" customWidth="1"/>
    <col min="4" max="4" width="50.7109375" style="2" customWidth="1"/>
    <col min="5" max="5" width="51" style="1" customWidth="1"/>
    <col min="6" max="6" width="6.42578125" style="4" bestFit="1" customWidth="1"/>
    <col min="7" max="7" width="12" style="2" customWidth="1"/>
    <col min="8" max="16384" width="9.140625" style="8"/>
  </cols>
  <sheetData>
    <row r="1" spans="1:7" ht="18.75">
      <c r="A1" s="5" t="s">
        <v>595</v>
      </c>
      <c r="B1" s="6"/>
      <c r="C1" s="7"/>
      <c r="D1" s="7"/>
      <c r="E1" s="7"/>
      <c r="F1" s="26"/>
      <c r="G1" s="7"/>
    </row>
    <row r="2" spans="1:7" ht="18.75">
      <c r="A2" s="5" t="s">
        <v>1047</v>
      </c>
      <c r="B2" s="6"/>
      <c r="C2" s="7"/>
      <c r="D2" s="7"/>
      <c r="E2" s="7"/>
      <c r="F2" s="26"/>
      <c r="G2" s="7"/>
    </row>
    <row r="3" spans="1:7" s="11" customFormat="1" ht="38.25">
      <c r="A3" s="9" t="s">
        <v>1305</v>
      </c>
      <c r="B3" s="9" t="s">
        <v>1039</v>
      </c>
      <c r="C3" s="10" t="s">
        <v>1041</v>
      </c>
      <c r="D3" s="10" t="s">
        <v>1044</v>
      </c>
      <c r="E3" s="9" t="s">
        <v>941</v>
      </c>
      <c r="F3" s="19" t="s">
        <v>833</v>
      </c>
      <c r="G3" s="9" t="s">
        <v>1040</v>
      </c>
    </row>
    <row r="4" spans="1:7" ht="76.5">
      <c r="B4" s="1" t="s">
        <v>853</v>
      </c>
      <c r="C4" s="3" t="s">
        <v>231</v>
      </c>
      <c r="D4" s="17" t="s">
        <v>1308</v>
      </c>
      <c r="E4" s="2" t="s">
        <v>1043</v>
      </c>
      <c r="F4" s="4">
        <v>2</v>
      </c>
    </row>
    <row r="5" spans="1:7" ht="76.5">
      <c r="A5" s="1">
        <v>2</v>
      </c>
      <c r="B5" s="1" t="s">
        <v>853</v>
      </c>
      <c r="C5" s="3" t="s">
        <v>231</v>
      </c>
      <c r="D5" s="17" t="s">
        <v>1309</v>
      </c>
      <c r="E5" s="2"/>
      <c r="F5" s="4">
        <v>2</v>
      </c>
      <c r="G5" s="2" t="s">
        <v>57</v>
      </c>
    </row>
    <row r="6" spans="1:7" ht="76.5">
      <c r="A6" s="1">
        <v>2</v>
      </c>
      <c r="B6" s="1" t="s">
        <v>853</v>
      </c>
      <c r="C6" s="3" t="s">
        <v>231</v>
      </c>
      <c r="D6" s="17" t="s">
        <v>1326</v>
      </c>
      <c r="F6" s="4">
        <v>3</v>
      </c>
      <c r="G6" s="2" t="s">
        <v>57</v>
      </c>
    </row>
    <row r="7" spans="1:7" ht="102">
      <c r="B7" s="1" t="s">
        <v>853</v>
      </c>
      <c r="C7" s="3" t="s">
        <v>597</v>
      </c>
    </row>
    <row r="8" spans="1:7" ht="51">
      <c r="B8" s="1" t="s">
        <v>853</v>
      </c>
      <c r="C8" s="3" t="s">
        <v>598</v>
      </c>
    </row>
    <row r="9" spans="1:7" ht="51">
      <c r="A9" s="1">
        <v>5</v>
      </c>
      <c r="B9" s="1" t="s">
        <v>853</v>
      </c>
      <c r="C9" s="2" t="s">
        <v>599</v>
      </c>
      <c r="D9" s="17" t="s">
        <v>1310</v>
      </c>
      <c r="F9" s="4">
        <v>2</v>
      </c>
      <c r="G9" s="2" t="s">
        <v>58</v>
      </c>
    </row>
    <row r="10" spans="1:7" ht="63.75">
      <c r="A10" s="1">
        <v>2</v>
      </c>
      <c r="B10" s="1" t="s">
        <v>853</v>
      </c>
      <c r="C10" s="2" t="s">
        <v>600</v>
      </c>
      <c r="D10" s="2" t="s">
        <v>1311</v>
      </c>
      <c r="F10" s="4">
        <v>3</v>
      </c>
      <c r="G10" s="2" t="s">
        <v>59</v>
      </c>
    </row>
    <row r="11" spans="1:7" ht="63.75">
      <c r="A11" s="1">
        <v>2</v>
      </c>
      <c r="B11" s="1" t="s">
        <v>853</v>
      </c>
      <c r="C11" s="2" t="s">
        <v>600</v>
      </c>
      <c r="D11" s="17" t="s">
        <v>1312</v>
      </c>
      <c r="F11" s="4">
        <v>2</v>
      </c>
      <c r="G11" s="2" t="s">
        <v>60</v>
      </c>
    </row>
    <row r="12" spans="1:7" ht="51">
      <c r="B12" s="1" t="s">
        <v>853</v>
      </c>
      <c r="C12" s="3" t="s">
        <v>601</v>
      </c>
      <c r="D12" s="2" t="s">
        <v>1313</v>
      </c>
      <c r="F12" s="4">
        <v>2</v>
      </c>
    </row>
    <row r="13" spans="1:7" ht="38.25">
      <c r="B13" s="1" t="s">
        <v>853</v>
      </c>
      <c r="C13" s="3" t="s">
        <v>602</v>
      </c>
      <c r="D13" s="2" t="s">
        <v>1314</v>
      </c>
      <c r="F13" s="4">
        <v>2</v>
      </c>
    </row>
    <row r="14" spans="1:7" ht="153">
      <c r="A14" s="1">
        <v>1</v>
      </c>
      <c r="B14" s="1" t="s">
        <v>854</v>
      </c>
      <c r="C14" s="3" t="s">
        <v>603</v>
      </c>
      <c r="D14" s="2" t="s">
        <v>1327</v>
      </c>
      <c r="F14" s="4">
        <v>3</v>
      </c>
      <c r="G14" s="2" t="s">
        <v>61</v>
      </c>
    </row>
    <row r="15" spans="1:7" ht="153">
      <c r="A15" s="1">
        <v>1</v>
      </c>
      <c r="B15" s="1" t="s">
        <v>854</v>
      </c>
      <c r="C15" s="3" t="s">
        <v>603</v>
      </c>
      <c r="D15" s="2" t="s">
        <v>1315</v>
      </c>
      <c r="F15" s="4">
        <v>2</v>
      </c>
      <c r="G15" s="2" t="s">
        <v>62</v>
      </c>
    </row>
    <row r="16" spans="1:7" ht="153">
      <c r="A16" s="1">
        <v>1</v>
      </c>
      <c r="B16" s="1" t="s">
        <v>854</v>
      </c>
      <c r="C16" s="3" t="s">
        <v>603</v>
      </c>
      <c r="D16" s="2" t="s">
        <v>1403</v>
      </c>
      <c r="F16" s="4">
        <v>2</v>
      </c>
      <c r="G16" s="2" t="s">
        <v>63</v>
      </c>
    </row>
    <row r="17" spans="1:7" ht="153">
      <c r="A17" s="1">
        <v>1</v>
      </c>
      <c r="B17" s="1" t="s">
        <v>854</v>
      </c>
      <c r="C17" s="3" t="s">
        <v>603</v>
      </c>
      <c r="D17" s="17" t="s">
        <v>1316</v>
      </c>
      <c r="F17" s="4">
        <v>2</v>
      </c>
      <c r="G17" s="2" t="s">
        <v>64</v>
      </c>
    </row>
    <row r="18" spans="1:7" ht="153">
      <c r="A18" s="1">
        <v>1</v>
      </c>
      <c r="B18" s="1" t="s">
        <v>854</v>
      </c>
      <c r="C18" s="3" t="s">
        <v>603</v>
      </c>
      <c r="D18" s="2" t="s">
        <v>1317</v>
      </c>
      <c r="F18" s="4">
        <v>2</v>
      </c>
      <c r="G18" s="2" t="s">
        <v>52</v>
      </c>
    </row>
    <row r="19" spans="1:7" ht="153">
      <c r="A19" s="1">
        <v>2</v>
      </c>
      <c r="B19" s="1" t="s">
        <v>854</v>
      </c>
      <c r="C19" s="3" t="s">
        <v>603</v>
      </c>
      <c r="D19" s="2" t="s">
        <v>1317</v>
      </c>
      <c r="F19" s="4">
        <v>2</v>
      </c>
      <c r="G19" s="2" t="s">
        <v>52</v>
      </c>
    </row>
    <row r="20" spans="1:7" ht="25.5">
      <c r="B20" s="1" t="s">
        <v>854</v>
      </c>
      <c r="C20" s="2" t="s">
        <v>604</v>
      </c>
    </row>
    <row r="21" spans="1:7" ht="63.75">
      <c r="A21" s="1">
        <v>3</v>
      </c>
      <c r="B21" s="1" t="s">
        <v>854</v>
      </c>
      <c r="C21" s="2" t="s">
        <v>605</v>
      </c>
      <c r="D21" s="2" t="s">
        <v>1318</v>
      </c>
      <c r="F21" s="4">
        <v>3</v>
      </c>
      <c r="G21" s="2" t="s">
        <v>65</v>
      </c>
    </row>
    <row r="22" spans="1:7" ht="38.25">
      <c r="A22" s="1">
        <v>1</v>
      </c>
      <c r="B22" s="1" t="s">
        <v>854</v>
      </c>
      <c r="C22" s="2" t="s">
        <v>605</v>
      </c>
      <c r="D22" s="2" t="s">
        <v>1319</v>
      </c>
      <c r="F22" s="4">
        <v>2</v>
      </c>
      <c r="G22" s="2" t="s">
        <v>52</v>
      </c>
    </row>
    <row r="23" spans="1:7" ht="38.25">
      <c r="A23" s="1">
        <v>2</v>
      </c>
      <c r="B23" s="1" t="s">
        <v>854</v>
      </c>
      <c r="C23" s="2" t="s">
        <v>605</v>
      </c>
      <c r="D23" s="2" t="s">
        <v>1319</v>
      </c>
      <c r="F23" s="4">
        <v>2</v>
      </c>
      <c r="G23" s="2" t="s">
        <v>52</v>
      </c>
    </row>
    <row r="24" spans="1:7" ht="89.25">
      <c r="B24" s="1" t="s">
        <v>854</v>
      </c>
      <c r="C24" s="3" t="s">
        <v>1022</v>
      </c>
      <c r="D24" s="17" t="s">
        <v>1320</v>
      </c>
      <c r="F24" s="4">
        <v>1</v>
      </c>
    </row>
    <row r="25" spans="1:7" ht="89.25">
      <c r="B25" s="1" t="s">
        <v>854</v>
      </c>
      <c r="C25" s="3" t="s">
        <v>1022</v>
      </c>
      <c r="D25" s="17" t="s">
        <v>1321</v>
      </c>
      <c r="F25" s="4">
        <v>1</v>
      </c>
    </row>
    <row r="26" spans="1:7" ht="89.25" customHeight="1">
      <c r="A26" s="1">
        <v>1</v>
      </c>
      <c r="B26" s="1" t="s">
        <v>854</v>
      </c>
      <c r="C26" s="18" t="s">
        <v>1023</v>
      </c>
      <c r="D26" s="2" t="s">
        <v>1324</v>
      </c>
      <c r="F26" s="4">
        <v>3</v>
      </c>
      <c r="G26" s="2" t="s">
        <v>66</v>
      </c>
    </row>
    <row r="27" spans="1:7" ht="89.25">
      <c r="A27" s="1">
        <v>3</v>
      </c>
      <c r="B27" s="1" t="s">
        <v>854</v>
      </c>
      <c r="C27" s="18" t="s">
        <v>1023</v>
      </c>
      <c r="D27" s="17" t="s">
        <v>1325</v>
      </c>
      <c r="F27" s="4">
        <v>3</v>
      </c>
      <c r="G27" s="2" t="s">
        <v>67</v>
      </c>
    </row>
    <row r="28" spans="1:7" ht="89.25">
      <c r="B28" s="1" t="s">
        <v>854</v>
      </c>
      <c r="C28" s="18" t="s">
        <v>1023</v>
      </c>
      <c r="D28" s="17" t="s">
        <v>1328</v>
      </c>
      <c r="F28" s="4">
        <v>3</v>
      </c>
    </row>
    <row r="29" spans="1:7" ht="51">
      <c r="B29" s="1" t="s">
        <v>854</v>
      </c>
      <c r="C29" s="2" t="s">
        <v>1024</v>
      </c>
    </row>
    <row r="30" spans="1:7" ht="63.75">
      <c r="B30" s="1" t="s">
        <v>854</v>
      </c>
      <c r="C30" s="2" t="s">
        <v>1025</v>
      </c>
    </row>
    <row r="31" spans="1:7" ht="63.75">
      <c r="A31" s="1">
        <v>3</v>
      </c>
      <c r="B31" s="1" t="s">
        <v>854</v>
      </c>
      <c r="C31" s="3" t="s">
        <v>1026</v>
      </c>
      <c r="D31" s="17" t="s">
        <v>1329</v>
      </c>
      <c r="F31" s="4">
        <v>2</v>
      </c>
      <c r="G31" s="2" t="s">
        <v>68</v>
      </c>
    </row>
    <row r="32" spans="1:7" ht="63.75">
      <c r="A32" s="1">
        <v>3</v>
      </c>
      <c r="B32" s="1" t="s">
        <v>854</v>
      </c>
      <c r="C32" s="3" t="s">
        <v>1026</v>
      </c>
      <c r="D32" s="17" t="s">
        <v>1330</v>
      </c>
      <c r="F32" s="4">
        <v>3</v>
      </c>
      <c r="G32" s="2" t="s">
        <v>68</v>
      </c>
    </row>
    <row r="33" spans="1:7" ht="63.75">
      <c r="B33" s="1" t="s">
        <v>854</v>
      </c>
      <c r="C33" s="3" t="s">
        <v>1026</v>
      </c>
      <c r="D33" s="17" t="s">
        <v>1331</v>
      </c>
      <c r="F33" s="4">
        <v>2</v>
      </c>
    </row>
    <row r="34" spans="1:7" ht="51">
      <c r="A34" s="1">
        <v>3</v>
      </c>
      <c r="B34" s="1" t="s">
        <v>854</v>
      </c>
      <c r="C34" s="2" t="s">
        <v>1027</v>
      </c>
      <c r="D34" s="2" t="s">
        <v>1332</v>
      </c>
      <c r="F34" s="4">
        <v>2</v>
      </c>
      <c r="G34" s="2" t="s">
        <v>69</v>
      </c>
    </row>
    <row r="35" spans="1:7" ht="51">
      <c r="A35" s="1">
        <v>2</v>
      </c>
      <c r="B35" s="1" t="s">
        <v>854</v>
      </c>
      <c r="C35" s="2" t="s">
        <v>1027</v>
      </c>
      <c r="D35" s="2" t="s">
        <v>1333</v>
      </c>
      <c r="F35" s="4">
        <v>2</v>
      </c>
      <c r="G35" s="2" t="s">
        <v>70</v>
      </c>
    </row>
    <row r="36" spans="1:7" ht="25.5">
      <c r="B36" s="1" t="s">
        <v>854</v>
      </c>
      <c r="C36" s="2" t="s">
        <v>1028</v>
      </c>
    </row>
    <row r="37" spans="1:7" ht="63.75">
      <c r="B37" s="1" t="s">
        <v>854</v>
      </c>
      <c r="C37" s="3" t="s">
        <v>1029</v>
      </c>
    </row>
    <row r="38" spans="1:7" ht="51">
      <c r="A38" s="1">
        <v>2</v>
      </c>
      <c r="B38" s="1" t="s">
        <v>854</v>
      </c>
      <c r="C38" s="3" t="s">
        <v>1030</v>
      </c>
      <c r="D38" s="17" t="s">
        <v>1334</v>
      </c>
      <c r="F38" s="4">
        <v>1</v>
      </c>
      <c r="G38" s="2" t="s">
        <v>71</v>
      </c>
    </row>
    <row r="39" spans="1:7" ht="76.5">
      <c r="B39" s="1" t="s">
        <v>854</v>
      </c>
      <c r="C39" s="3" t="s">
        <v>1031</v>
      </c>
    </row>
    <row r="40" spans="1:7" ht="51">
      <c r="B40" s="1" t="s">
        <v>854</v>
      </c>
      <c r="C40" s="3" t="s">
        <v>1032</v>
      </c>
    </row>
    <row r="41" spans="1:7" ht="63.75">
      <c r="A41" s="1">
        <v>3</v>
      </c>
      <c r="B41" s="1" t="s">
        <v>854</v>
      </c>
      <c r="C41" s="3" t="s">
        <v>1033</v>
      </c>
      <c r="D41" s="2" t="s">
        <v>1335</v>
      </c>
      <c r="F41" s="4">
        <v>3</v>
      </c>
      <c r="G41" s="2" t="s">
        <v>72</v>
      </c>
    </row>
    <row r="42" spans="1:7" ht="25.5">
      <c r="B42" s="1" t="s">
        <v>855</v>
      </c>
      <c r="C42" s="3" t="s">
        <v>1034</v>
      </c>
    </row>
    <row r="43" spans="1:7" ht="25.5">
      <c r="A43" s="1">
        <v>3</v>
      </c>
      <c r="B43" s="1" t="s">
        <v>855</v>
      </c>
      <c r="C43" s="3" t="s">
        <v>1035</v>
      </c>
      <c r="D43" s="17" t="s">
        <v>1336</v>
      </c>
      <c r="F43" s="4">
        <v>1</v>
      </c>
      <c r="G43" s="2" t="s">
        <v>73</v>
      </c>
    </row>
    <row r="44" spans="1:7" ht="25.5">
      <c r="A44" s="1">
        <v>3</v>
      </c>
      <c r="B44" s="1" t="s">
        <v>855</v>
      </c>
      <c r="C44" s="3" t="s">
        <v>1035</v>
      </c>
      <c r="D44" s="2" t="s">
        <v>1337</v>
      </c>
      <c r="F44" s="4">
        <v>2</v>
      </c>
      <c r="G44" s="2" t="s">
        <v>74</v>
      </c>
    </row>
    <row r="45" spans="1:7" ht="25.5">
      <c r="B45" s="1" t="s">
        <v>855</v>
      </c>
      <c r="C45" s="3" t="s">
        <v>1035</v>
      </c>
      <c r="D45" s="2" t="s">
        <v>1338</v>
      </c>
      <c r="F45" s="4">
        <v>1</v>
      </c>
    </row>
    <row r="46" spans="1:7" ht="38.25">
      <c r="B46" s="1" t="s">
        <v>855</v>
      </c>
      <c r="C46" s="2" t="s">
        <v>1036</v>
      </c>
    </row>
    <row r="47" spans="1:7" ht="76.5">
      <c r="B47" s="1" t="s">
        <v>855</v>
      </c>
      <c r="C47" s="3" t="s">
        <v>1037</v>
      </c>
      <c r="D47" s="17" t="s">
        <v>1339</v>
      </c>
      <c r="F47" s="4">
        <v>2</v>
      </c>
    </row>
    <row r="48" spans="1:7" ht="105">
      <c r="B48" s="1" t="s">
        <v>855</v>
      </c>
      <c r="C48" s="12" t="s">
        <v>1307</v>
      </c>
      <c r="D48" s="17" t="s">
        <v>1340</v>
      </c>
      <c r="F48" s="4">
        <v>0</v>
      </c>
    </row>
    <row r="49" spans="1:7" ht="89.25">
      <c r="B49" s="1" t="s">
        <v>855</v>
      </c>
      <c r="C49" s="3" t="s">
        <v>1038</v>
      </c>
      <c r="D49" s="2" t="s">
        <v>1341</v>
      </c>
      <c r="F49" s="4">
        <v>3</v>
      </c>
    </row>
    <row r="50" spans="1:7" ht="89.25">
      <c r="B50" s="1" t="s">
        <v>855</v>
      </c>
      <c r="C50" s="3" t="s">
        <v>1038</v>
      </c>
      <c r="D50" s="17" t="s">
        <v>1342</v>
      </c>
      <c r="F50" s="4">
        <v>3</v>
      </c>
    </row>
    <row r="51" spans="1:7" ht="89.25">
      <c r="A51" s="1">
        <v>3</v>
      </c>
      <c r="B51" s="1" t="s">
        <v>855</v>
      </c>
      <c r="C51" s="3" t="s">
        <v>1038</v>
      </c>
      <c r="D51" s="17" t="s">
        <v>1343</v>
      </c>
      <c r="F51" s="4">
        <v>2</v>
      </c>
      <c r="G51" s="2" t="s">
        <v>75</v>
      </c>
    </row>
    <row r="52" spans="1:7" ht="89.25">
      <c r="A52" s="1">
        <v>3</v>
      </c>
      <c r="B52" s="1" t="s">
        <v>855</v>
      </c>
      <c r="C52" s="3" t="s">
        <v>1038</v>
      </c>
      <c r="D52" s="2" t="s">
        <v>1344</v>
      </c>
      <c r="F52" s="4">
        <v>2</v>
      </c>
      <c r="G52" s="2" t="s">
        <v>75</v>
      </c>
    </row>
    <row r="53" spans="1:7" ht="76.5">
      <c r="A53" s="1">
        <v>1</v>
      </c>
      <c r="B53" s="1" t="s">
        <v>855</v>
      </c>
      <c r="C53" s="3" t="s">
        <v>612</v>
      </c>
      <c r="D53" s="17" t="s">
        <v>1345</v>
      </c>
      <c r="F53" s="4">
        <v>2</v>
      </c>
      <c r="G53" s="2" t="s">
        <v>53</v>
      </c>
    </row>
    <row r="54" spans="1:7" ht="76.5">
      <c r="A54" s="1">
        <v>2</v>
      </c>
      <c r="B54" s="1" t="s">
        <v>855</v>
      </c>
      <c r="C54" s="3" t="s">
        <v>612</v>
      </c>
      <c r="D54" s="17" t="s">
        <v>1345</v>
      </c>
      <c r="F54" s="4">
        <v>2</v>
      </c>
      <c r="G54" s="2" t="s">
        <v>53</v>
      </c>
    </row>
    <row r="55" spans="1:7" ht="76.5">
      <c r="A55" s="1">
        <v>3</v>
      </c>
      <c r="B55" s="1" t="s">
        <v>855</v>
      </c>
      <c r="C55" s="3" t="s">
        <v>612</v>
      </c>
      <c r="D55" s="17" t="s">
        <v>1345</v>
      </c>
      <c r="F55" s="4">
        <v>2</v>
      </c>
      <c r="G55" s="2" t="s">
        <v>53</v>
      </c>
    </row>
    <row r="56" spans="1:7" ht="76.5">
      <c r="A56" s="1">
        <v>4</v>
      </c>
      <c r="B56" s="1" t="s">
        <v>855</v>
      </c>
      <c r="C56" s="3" t="s">
        <v>612</v>
      </c>
      <c r="D56" s="17" t="s">
        <v>1345</v>
      </c>
      <c r="F56" s="4">
        <v>2</v>
      </c>
      <c r="G56" s="2" t="s">
        <v>53</v>
      </c>
    </row>
    <row r="57" spans="1:7" ht="76.5">
      <c r="A57" s="1">
        <v>5</v>
      </c>
      <c r="B57" s="1" t="s">
        <v>855</v>
      </c>
      <c r="C57" s="3" t="s">
        <v>612</v>
      </c>
      <c r="D57" s="17" t="s">
        <v>1345</v>
      </c>
      <c r="F57" s="4">
        <v>2</v>
      </c>
      <c r="G57" s="2" t="s">
        <v>53</v>
      </c>
    </row>
    <row r="58" spans="1:7" ht="76.5">
      <c r="A58" s="1">
        <v>6</v>
      </c>
      <c r="B58" s="1" t="s">
        <v>855</v>
      </c>
      <c r="C58" s="3" t="s">
        <v>612</v>
      </c>
      <c r="D58" s="17" t="s">
        <v>1345</v>
      </c>
      <c r="F58" s="4">
        <v>2</v>
      </c>
      <c r="G58" s="2" t="s">
        <v>53</v>
      </c>
    </row>
    <row r="59" spans="1:7" ht="76.5">
      <c r="A59" s="1">
        <v>3</v>
      </c>
      <c r="B59" s="1" t="s">
        <v>855</v>
      </c>
      <c r="C59" s="3" t="s">
        <v>612</v>
      </c>
      <c r="D59" s="17" t="s">
        <v>1346</v>
      </c>
      <c r="F59" s="4">
        <v>2</v>
      </c>
      <c r="G59" s="2" t="s">
        <v>76</v>
      </c>
    </row>
    <row r="60" spans="1:7" ht="76.5">
      <c r="A60" s="1">
        <v>3</v>
      </c>
      <c r="B60" s="1" t="s">
        <v>855</v>
      </c>
      <c r="C60" s="3" t="s">
        <v>612</v>
      </c>
      <c r="D60" s="2" t="s">
        <v>1347</v>
      </c>
      <c r="F60" s="4">
        <v>2</v>
      </c>
      <c r="G60" s="2" t="s">
        <v>77</v>
      </c>
    </row>
    <row r="61" spans="1:7" ht="63.75">
      <c r="A61" s="1">
        <v>3</v>
      </c>
      <c r="B61" s="1" t="s">
        <v>855</v>
      </c>
      <c r="C61" s="3" t="s">
        <v>367</v>
      </c>
      <c r="D61" s="2" t="s">
        <v>1348</v>
      </c>
      <c r="F61" s="4">
        <v>3</v>
      </c>
      <c r="G61" s="2" t="s">
        <v>77</v>
      </c>
    </row>
    <row r="62" spans="1:7" ht="63.75">
      <c r="B62" s="1" t="s">
        <v>855</v>
      </c>
      <c r="C62" s="3" t="s">
        <v>367</v>
      </c>
      <c r="D62" s="2" t="s">
        <v>1349</v>
      </c>
      <c r="F62" s="4">
        <v>2</v>
      </c>
    </row>
    <row r="63" spans="1:7" ht="63.75">
      <c r="B63" s="1" t="s">
        <v>855</v>
      </c>
      <c r="C63" s="3" t="s">
        <v>367</v>
      </c>
      <c r="D63" s="17" t="s">
        <v>1350</v>
      </c>
      <c r="F63" s="4">
        <v>2</v>
      </c>
    </row>
    <row r="64" spans="1:7" ht="63.75">
      <c r="B64" s="1" t="s">
        <v>855</v>
      </c>
      <c r="C64" s="2" t="s">
        <v>368</v>
      </c>
      <c r="D64" s="17" t="s">
        <v>1351</v>
      </c>
      <c r="F64" s="4">
        <v>3</v>
      </c>
    </row>
    <row r="65" spans="1:7" ht="51">
      <c r="A65" s="1">
        <v>3</v>
      </c>
      <c r="B65" s="1" t="s">
        <v>855</v>
      </c>
      <c r="C65" s="2" t="s">
        <v>369</v>
      </c>
      <c r="D65" s="2" t="s">
        <v>1352</v>
      </c>
      <c r="F65" s="4">
        <v>2</v>
      </c>
      <c r="G65" s="2" t="s">
        <v>78</v>
      </c>
    </row>
    <row r="66" spans="1:7" ht="51">
      <c r="B66" s="1" t="s">
        <v>855</v>
      </c>
      <c r="C66" s="2" t="s">
        <v>369</v>
      </c>
      <c r="D66" s="17" t="s">
        <v>1353</v>
      </c>
      <c r="F66" s="4">
        <v>2</v>
      </c>
    </row>
    <row r="67" spans="1:7" ht="63.75">
      <c r="A67" s="1">
        <v>3</v>
      </c>
      <c r="B67" s="1" t="s">
        <v>855</v>
      </c>
      <c r="C67" s="3" t="s">
        <v>370</v>
      </c>
      <c r="D67" s="17" t="s">
        <v>1354</v>
      </c>
      <c r="F67" s="4">
        <v>2</v>
      </c>
      <c r="G67" s="2" t="s">
        <v>79</v>
      </c>
    </row>
    <row r="68" spans="1:7" ht="63.75">
      <c r="A68" s="1">
        <v>3</v>
      </c>
      <c r="B68" s="1" t="s">
        <v>855</v>
      </c>
      <c r="C68" s="3" t="s">
        <v>370</v>
      </c>
      <c r="D68" s="2" t="s">
        <v>1355</v>
      </c>
      <c r="F68" s="4">
        <v>2</v>
      </c>
      <c r="G68" s="2" t="s">
        <v>80</v>
      </c>
    </row>
    <row r="69" spans="1:7" ht="63.75">
      <c r="B69" s="1" t="s">
        <v>855</v>
      </c>
      <c r="C69" s="3" t="s">
        <v>370</v>
      </c>
      <c r="D69" s="2" t="s">
        <v>1356</v>
      </c>
    </row>
    <row r="70" spans="1:7" ht="63.75">
      <c r="A70" s="1">
        <v>3</v>
      </c>
      <c r="B70" s="1" t="s">
        <v>855</v>
      </c>
      <c r="C70" s="3" t="s">
        <v>370</v>
      </c>
      <c r="D70" s="17" t="s">
        <v>1357</v>
      </c>
      <c r="F70" s="4">
        <v>2</v>
      </c>
      <c r="G70" s="2" t="s">
        <v>81</v>
      </c>
    </row>
    <row r="71" spans="1:7" ht="140.25">
      <c r="A71" s="1">
        <v>3</v>
      </c>
      <c r="B71" s="1" t="s">
        <v>855</v>
      </c>
      <c r="C71" s="3" t="s">
        <v>371</v>
      </c>
      <c r="D71" s="17" t="s">
        <v>1358</v>
      </c>
      <c r="F71" s="4">
        <v>3</v>
      </c>
      <c r="G71" s="2" t="s">
        <v>76</v>
      </c>
    </row>
    <row r="72" spans="1:7" ht="140.25">
      <c r="A72" s="1">
        <v>3</v>
      </c>
      <c r="B72" s="1" t="s">
        <v>855</v>
      </c>
      <c r="C72" s="3" t="s">
        <v>371</v>
      </c>
      <c r="D72" s="17" t="s">
        <v>1359</v>
      </c>
      <c r="F72" s="4">
        <v>2</v>
      </c>
      <c r="G72" s="2" t="s">
        <v>72</v>
      </c>
    </row>
    <row r="73" spans="1:7" ht="63.75">
      <c r="B73" s="1" t="s">
        <v>940</v>
      </c>
      <c r="C73" s="3" t="s">
        <v>845</v>
      </c>
    </row>
    <row r="74" spans="1:7" ht="102">
      <c r="B74" s="1" t="s">
        <v>940</v>
      </c>
      <c r="C74" s="3" t="s">
        <v>846</v>
      </c>
      <c r="D74" s="17" t="s">
        <v>1360</v>
      </c>
      <c r="F74" s="4">
        <v>3</v>
      </c>
    </row>
    <row r="75" spans="1:7" ht="102">
      <c r="A75" s="1">
        <v>4</v>
      </c>
      <c r="B75" s="1" t="s">
        <v>940</v>
      </c>
      <c r="C75" s="3" t="s">
        <v>846</v>
      </c>
      <c r="D75" s="17" t="s">
        <v>1361</v>
      </c>
      <c r="F75" s="4">
        <v>1</v>
      </c>
      <c r="G75" s="2" t="s">
        <v>82</v>
      </c>
    </row>
    <row r="76" spans="1:7" ht="102">
      <c r="B76" s="1" t="s">
        <v>940</v>
      </c>
      <c r="C76" s="3" t="s">
        <v>846</v>
      </c>
      <c r="D76" s="2" t="s">
        <v>1362</v>
      </c>
      <c r="F76" s="4">
        <v>1</v>
      </c>
    </row>
    <row r="77" spans="1:7" ht="102">
      <c r="A77" s="1">
        <v>3</v>
      </c>
      <c r="B77" s="1" t="s">
        <v>940</v>
      </c>
      <c r="C77" s="3" t="s">
        <v>846</v>
      </c>
      <c r="D77" s="17" t="s">
        <v>1363</v>
      </c>
      <c r="F77" s="4">
        <v>1</v>
      </c>
      <c r="G77" s="2" t="s">
        <v>83</v>
      </c>
    </row>
    <row r="78" spans="1:7" ht="102">
      <c r="B78" s="1" t="s">
        <v>940</v>
      </c>
      <c r="C78" s="3" t="s">
        <v>846</v>
      </c>
      <c r="D78" s="17" t="s">
        <v>1364</v>
      </c>
      <c r="F78" s="4">
        <v>2</v>
      </c>
    </row>
    <row r="79" spans="1:7" ht="102">
      <c r="B79" s="1" t="s">
        <v>940</v>
      </c>
      <c r="C79" s="3" t="s">
        <v>846</v>
      </c>
      <c r="D79" s="2" t="s">
        <v>1365</v>
      </c>
      <c r="F79" s="4">
        <v>2</v>
      </c>
    </row>
    <row r="80" spans="1:7" ht="102">
      <c r="A80" s="1">
        <v>5</v>
      </c>
      <c r="B80" s="1" t="s">
        <v>940</v>
      </c>
      <c r="C80" s="3" t="s">
        <v>846</v>
      </c>
      <c r="D80" s="2" t="s">
        <v>1366</v>
      </c>
      <c r="E80" s="8"/>
      <c r="F80" s="4">
        <v>1</v>
      </c>
      <c r="G80" s="2" t="s">
        <v>84</v>
      </c>
    </row>
    <row r="81" spans="1:7" ht="102">
      <c r="A81" s="1">
        <v>4</v>
      </c>
      <c r="B81" s="1" t="s">
        <v>940</v>
      </c>
      <c r="C81" s="3" t="s">
        <v>846</v>
      </c>
      <c r="D81" s="17" t="s">
        <v>1367</v>
      </c>
      <c r="E81" s="8"/>
      <c r="F81" s="27">
        <v>1</v>
      </c>
      <c r="G81" s="2" t="s">
        <v>85</v>
      </c>
    </row>
    <row r="82" spans="1:7" ht="102">
      <c r="A82" s="1">
        <v>5</v>
      </c>
      <c r="B82" s="1" t="s">
        <v>940</v>
      </c>
      <c r="C82" s="3" t="s">
        <v>846</v>
      </c>
      <c r="D82" s="17" t="s">
        <v>1368</v>
      </c>
      <c r="E82" s="2"/>
      <c r="F82" s="26">
        <v>1</v>
      </c>
      <c r="G82" s="2" t="s">
        <v>86</v>
      </c>
    </row>
    <row r="83" spans="1:7" ht="63.75">
      <c r="B83" s="1" t="s">
        <v>940</v>
      </c>
      <c r="C83" s="3" t="s">
        <v>847</v>
      </c>
    </row>
    <row r="84" spans="1:7" ht="51">
      <c r="B84" s="1" t="s">
        <v>940</v>
      </c>
      <c r="C84" s="2" t="s">
        <v>848</v>
      </c>
      <c r="D84" s="17" t="s">
        <v>1369</v>
      </c>
      <c r="F84" s="4">
        <v>2</v>
      </c>
    </row>
    <row r="85" spans="1:7" ht="51">
      <c r="B85" s="1" t="s">
        <v>940</v>
      </c>
      <c r="C85" s="2" t="s">
        <v>848</v>
      </c>
      <c r="D85" s="17" t="s">
        <v>1370</v>
      </c>
      <c r="F85" s="4">
        <v>2</v>
      </c>
    </row>
    <row r="86" spans="1:7" ht="51">
      <c r="B86" s="1" t="s">
        <v>940</v>
      </c>
      <c r="C86" s="2" t="s">
        <v>848</v>
      </c>
      <c r="D86" s="17" t="s">
        <v>1371</v>
      </c>
      <c r="F86" s="4">
        <v>2</v>
      </c>
    </row>
    <row r="87" spans="1:7" ht="51">
      <c r="B87" s="1" t="s">
        <v>940</v>
      </c>
      <c r="C87" s="2" t="s">
        <v>848</v>
      </c>
      <c r="D87" s="2" t="s">
        <v>1372</v>
      </c>
      <c r="F87" s="4">
        <v>2</v>
      </c>
    </row>
    <row r="88" spans="1:7" ht="76.5">
      <c r="B88" s="1" t="s">
        <v>940</v>
      </c>
      <c r="C88" s="3" t="s">
        <v>849</v>
      </c>
    </row>
    <row r="89" spans="1:7" ht="38.25">
      <c r="B89" s="1" t="s">
        <v>1413</v>
      </c>
      <c r="C89" s="2" t="s">
        <v>850</v>
      </c>
    </row>
    <row r="90" spans="1:7" ht="51">
      <c r="B90" s="1" t="s">
        <v>1413</v>
      </c>
      <c r="C90" s="2" t="s">
        <v>851</v>
      </c>
      <c r="D90" s="17" t="s">
        <v>1373</v>
      </c>
      <c r="F90" s="4">
        <v>2</v>
      </c>
    </row>
    <row r="91" spans="1:7" ht="51">
      <c r="A91" s="1">
        <v>5</v>
      </c>
      <c r="B91" s="1" t="s">
        <v>1413</v>
      </c>
      <c r="C91" s="2" t="s">
        <v>851</v>
      </c>
      <c r="D91" s="2" t="s">
        <v>1374</v>
      </c>
      <c r="F91" s="4">
        <v>1</v>
      </c>
      <c r="G91" s="2" t="s">
        <v>87</v>
      </c>
    </row>
    <row r="92" spans="1:7" ht="51">
      <c r="A92" s="1">
        <v>5</v>
      </c>
      <c r="B92" s="1" t="s">
        <v>1413</v>
      </c>
      <c r="C92" s="2" t="s">
        <v>851</v>
      </c>
      <c r="D92" s="17" t="s">
        <v>1375</v>
      </c>
      <c r="F92" s="4">
        <v>1</v>
      </c>
      <c r="G92" s="2" t="s">
        <v>88</v>
      </c>
    </row>
    <row r="93" spans="1:7" ht="51">
      <c r="B93" s="1" t="s">
        <v>1413</v>
      </c>
      <c r="C93" s="2" t="s">
        <v>851</v>
      </c>
      <c r="D93" s="2" t="s">
        <v>1376</v>
      </c>
      <c r="F93" s="4">
        <v>2</v>
      </c>
    </row>
    <row r="94" spans="1:7" ht="25.5">
      <c r="B94" s="1" t="s">
        <v>1413</v>
      </c>
      <c r="C94" s="2" t="s">
        <v>852</v>
      </c>
      <c r="D94" s="17" t="s">
        <v>1377</v>
      </c>
      <c r="F94" s="4">
        <v>1</v>
      </c>
    </row>
    <row r="95" spans="1:7" ht="25.5">
      <c r="B95" s="1" t="s">
        <v>1413</v>
      </c>
      <c r="C95" s="2" t="s">
        <v>852</v>
      </c>
      <c r="D95" s="2" t="s">
        <v>1378</v>
      </c>
    </row>
    <row r="96" spans="1:7" ht="38.25">
      <c r="A96" s="1">
        <v>3</v>
      </c>
      <c r="B96" s="1" t="s">
        <v>1413</v>
      </c>
      <c r="C96" s="2" t="s">
        <v>852</v>
      </c>
      <c r="D96" s="2" t="s">
        <v>54</v>
      </c>
      <c r="F96" s="4">
        <v>4</v>
      </c>
      <c r="G96" s="2" t="s">
        <v>77</v>
      </c>
    </row>
    <row r="97" spans="1:7" ht="178.5">
      <c r="B97" s="1" t="s">
        <v>1413</v>
      </c>
      <c r="C97" s="3" t="s">
        <v>1306</v>
      </c>
      <c r="D97" s="17" t="s">
        <v>1379</v>
      </c>
      <c r="F97" s="4">
        <v>1</v>
      </c>
    </row>
    <row r="98" spans="1:7" ht="178.5">
      <c r="B98" s="1" t="s">
        <v>1413</v>
      </c>
      <c r="C98" s="3" t="s">
        <v>1306</v>
      </c>
      <c r="D98" s="17" t="s">
        <v>1380</v>
      </c>
      <c r="F98" s="4">
        <v>1</v>
      </c>
    </row>
    <row r="99" spans="1:7" ht="51">
      <c r="A99" s="1">
        <v>1</v>
      </c>
      <c r="B99" s="1" t="s">
        <v>1300</v>
      </c>
      <c r="D99" s="17" t="s">
        <v>1402</v>
      </c>
      <c r="G99" s="2" t="s">
        <v>55</v>
      </c>
    </row>
    <row r="100" spans="1:7" ht="51">
      <c r="A100" s="1">
        <v>2</v>
      </c>
      <c r="B100" s="1" t="s">
        <v>1300</v>
      </c>
      <c r="D100" s="17" t="s">
        <v>1402</v>
      </c>
      <c r="G100" s="2" t="s">
        <v>55</v>
      </c>
    </row>
    <row r="101" spans="1:7" ht="51">
      <c r="A101" s="1">
        <v>3</v>
      </c>
      <c r="B101" s="1" t="s">
        <v>1300</v>
      </c>
      <c r="D101" s="17" t="s">
        <v>1402</v>
      </c>
      <c r="G101" s="2" t="s">
        <v>55</v>
      </c>
    </row>
    <row r="102" spans="1:7" ht="51">
      <c r="A102" s="1">
        <v>4</v>
      </c>
      <c r="B102" s="1" t="s">
        <v>1300</v>
      </c>
      <c r="D102" s="17" t="s">
        <v>1402</v>
      </c>
      <c r="G102" s="2" t="s">
        <v>55</v>
      </c>
    </row>
    <row r="103" spans="1:7" ht="51">
      <c r="A103" s="1">
        <v>5</v>
      </c>
      <c r="B103" s="1" t="s">
        <v>1300</v>
      </c>
      <c r="D103" s="17" t="s">
        <v>1402</v>
      </c>
      <c r="G103" s="2" t="s">
        <v>55</v>
      </c>
    </row>
    <row r="104" spans="1:7" ht="51">
      <c r="A104" s="1">
        <v>6</v>
      </c>
      <c r="B104" s="1" t="s">
        <v>1300</v>
      </c>
      <c r="D104" s="17" t="s">
        <v>1402</v>
      </c>
      <c r="G104" s="2" t="s">
        <v>55</v>
      </c>
    </row>
    <row r="105" spans="1:7" ht="51">
      <c r="A105" s="1">
        <v>1</v>
      </c>
      <c r="B105" s="1" t="s">
        <v>1300</v>
      </c>
      <c r="D105" s="17" t="s">
        <v>1322</v>
      </c>
      <c r="G105" s="2" t="s">
        <v>56</v>
      </c>
    </row>
    <row r="106" spans="1:7" ht="51">
      <c r="A106" s="1">
        <v>2</v>
      </c>
      <c r="B106" s="1" t="s">
        <v>1300</v>
      </c>
      <c r="D106" s="17" t="s">
        <v>1322</v>
      </c>
      <c r="G106" s="2" t="s">
        <v>56</v>
      </c>
    </row>
    <row r="107" spans="1:7" ht="51">
      <c r="A107" s="1">
        <v>3</v>
      </c>
      <c r="B107" s="1" t="s">
        <v>1300</v>
      </c>
      <c r="D107" s="17" t="s">
        <v>1322</v>
      </c>
      <c r="G107" s="2" t="s">
        <v>56</v>
      </c>
    </row>
    <row r="108" spans="1:7" ht="51">
      <c r="A108" s="1">
        <v>4</v>
      </c>
      <c r="B108" s="1" t="s">
        <v>1300</v>
      </c>
      <c r="D108" s="17" t="s">
        <v>1322</v>
      </c>
      <c r="G108" s="2" t="s">
        <v>56</v>
      </c>
    </row>
    <row r="109" spans="1:7" ht="51">
      <c r="A109" s="1">
        <v>5</v>
      </c>
      <c r="B109" s="1" t="s">
        <v>1300</v>
      </c>
      <c r="D109" s="17" t="s">
        <v>1322</v>
      </c>
      <c r="G109" s="2" t="s">
        <v>56</v>
      </c>
    </row>
    <row r="110" spans="1:7" ht="51">
      <c r="A110" s="1">
        <v>6</v>
      </c>
      <c r="B110" s="1" t="s">
        <v>1300</v>
      </c>
      <c r="D110" s="17" t="s">
        <v>1322</v>
      </c>
      <c r="G110" s="2" t="s">
        <v>56</v>
      </c>
    </row>
    <row r="111" spans="1:7" ht="25.5">
      <c r="A111" s="1">
        <v>5</v>
      </c>
      <c r="B111" s="1" t="s">
        <v>1300</v>
      </c>
      <c r="D111" s="17" t="s">
        <v>1323</v>
      </c>
      <c r="G111" s="2" t="s">
        <v>89</v>
      </c>
    </row>
  </sheetData>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worksheet>
</file>

<file path=xl/worksheets/sheet8.xml><?xml version="1.0" encoding="utf-8"?>
<worksheet xmlns="http://schemas.openxmlformats.org/spreadsheetml/2006/main" xmlns:r="http://schemas.openxmlformats.org/officeDocument/2006/relationships">
  <sheetPr codeName="Sheet10" enableFormatConditionsCalculation="0">
    <tabColor indexed="11"/>
  </sheetPr>
  <dimension ref="A1:G174"/>
  <sheetViews>
    <sheetView topLeftCell="B1" zoomScaleNormal="100" zoomScaleSheetLayoutView="100" workbookViewId="0">
      <selection activeCell="C6" sqref="C6"/>
    </sheetView>
  </sheetViews>
  <sheetFormatPr defaultRowHeight="12.75"/>
  <cols>
    <col min="1" max="1" width="8.42578125" style="1" customWidth="1"/>
    <col min="2" max="2" width="8" style="1" bestFit="1" customWidth="1"/>
    <col min="3" max="3" width="48.7109375" style="2" customWidth="1"/>
    <col min="4" max="4" width="50.7109375" style="2" customWidth="1"/>
    <col min="5" max="5" width="51" style="1" customWidth="1"/>
    <col min="6" max="6" width="6.42578125" style="4" bestFit="1" customWidth="1"/>
    <col min="7" max="7" width="11" style="2" customWidth="1"/>
    <col min="8" max="16384" width="9.140625" style="8"/>
  </cols>
  <sheetData>
    <row r="1" spans="1:7" ht="18.75">
      <c r="A1" s="5" t="s">
        <v>1414</v>
      </c>
      <c r="B1" s="6"/>
      <c r="C1" s="7"/>
      <c r="D1" s="7"/>
      <c r="E1" s="7"/>
      <c r="F1" s="26"/>
      <c r="G1" s="7"/>
    </row>
    <row r="2" spans="1:7" ht="18.75">
      <c r="A2" s="5" t="s">
        <v>1047</v>
      </c>
      <c r="B2" s="6"/>
      <c r="C2" s="7"/>
      <c r="D2" s="7"/>
      <c r="E2" s="7"/>
      <c r="F2" s="26"/>
      <c r="G2" s="7"/>
    </row>
    <row r="3" spans="1:7" s="11" customFormat="1" ht="38.25">
      <c r="A3" s="9" t="s">
        <v>1305</v>
      </c>
      <c r="B3" s="9" t="s">
        <v>1039</v>
      </c>
      <c r="C3" s="10" t="s">
        <v>1041</v>
      </c>
      <c r="D3" s="10" t="s">
        <v>1044</v>
      </c>
      <c r="E3" s="9" t="s">
        <v>941</v>
      </c>
      <c r="F3" s="19" t="s">
        <v>833</v>
      </c>
      <c r="G3" s="9" t="s">
        <v>1040</v>
      </c>
    </row>
    <row r="4" spans="1:7" s="11" customFormat="1">
      <c r="A4" s="19">
        <v>3</v>
      </c>
      <c r="B4" s="19" t="s">
        <v>1383</v>
      </c>
      <c r="C4" s="10"/>
      <c r="D4" s="20" t="s">
        <v>324</v>
      </c>
      <c r="E4" s="21"/>
      <c r="F4" s="19">
        <v>3</v>
      </c>
      <c r="G4" s="19" t="s">
        <v>93</v>
      </c>
    </row>
    <row r="5" spans="1:7" s="11" customFormat="1">
      <c r="A5" s="19">
        <v>3</v>
      </c>
      <c r="B5" s="19" t="s">
        <v>1383</v>
      </c>
      <c r="C5" s="10"/>
      <c r="D5" s="22" t="s">
        <v>1384</v>
      </c>
      <c r="E5" s="21"/>
      <c r="F5" s="19">
        <v>3</v>
      </c>
      <c r="G5" s="19" t="s">
        <v>94</v>
      </c>
    </row>
    <row r="6" spans="1:7" ht="76.5">
      <c r="A6" s="1">
        <v>1</v>
      </c>
      <c r="B6" s="1" t="s">
        <v>853</v>
      </c>
      <c r="C6" s="3" t="s">
        <v>856</v>
      </c>
      <c r="D6" s="17" t="s">
        <v>325</v>
      </c>
      <c r="E6" s="2" t="s">
        <v>1043</v>
      </c>
      <c r="F6" s="4">
        <v>1</v>
      </c>
    </row>
    <row r="7" spans="1:7" ht="76.5">
      <c r="A7" s="1">
        <v>2</v>
      </c>
      <c r="B7" s="1" t="s">
        <v>853</v>
      </c>
      <c r="C7" s="3" t="s">
        <v>856</v>
      </c>
      <c r="D7" s="17" t="s">
        <v>1385</v>
      </c>
      <c r="E7" s="2"/>
      <c r="F7" s="4">
        <v>1</v>
      </c>
    </row>
    <row r="8" spans="1:7" ht="76.5">
      <c r="A8" s="1">
        <v>6</v>
      </c>
      <c r="B8" s="1" t="s">
        <v>853</v>
      </c>
      <c r="C8" s="3" t="s">
        <v>856</v>
      </c>
      <c r="D8" s="17" t="s">
        <v>1386</v>
      </c>
      <c r="E8" s="2"/>
      <c r="F8" s="4">
        <v>3</v>
      </c>
    </row>
    <row r="9" spans="1:7" ht="25.5">
      <c r="B9" s="1" t="s">
        <v>853</v>
      </c>
      <c r="C9" s="3" t="s">
        <v>857</v>
      </c>
    </row>
    <row r="10" spans="1:7" ht="63.75">
      <c r="A10" s="1">
        <v>2</v>
      </c>
      <c r="B10" s="1" t="s">
        <v>853</v>
      </c>
      <c r="C10" s="3" t="s">
        <v>858</v>
      </c>
      <c r="D10" s="17" t="s">
        <v>1387</v>
      </c>
      <c r="F10" s="4">
        <v>3</v>
      </c>
    </row>
    <row r="11" spans="1:7" ht="63.75">
      <c r="A11" s="1">
        <v>2</v>
      </c>
      <c r="B11" s="1" t="s">
        <v>853</v>
      </c>
      <c r="C11" s="3" t="s">
        <v>858</v>
      </c>
      <c r="D11" s="17" t="s">
        <v>1388</v>
      </c>
      <c r="F11" s="4">
        <v>1</v>
      </c>
    </row>
    <row r="12" spans="1:7" ht="63.75">
      <c r="A12" s="1">
        <v>2</v>
      </c>
      <c r="B12" s="1" t="s">
        <v>853</v>
      </c>
      <c r="C12" s="3" t="s">
        <v>858</v>
      </c>
      <c r="D12" s="17" t="s">
        <v>1389</v>
      </c>
      <c r="F12" s="4">
        <v>2</v>
      </c>
    </row>
    <row r="13" spans="1:7" ht="63.75">
      <c r="A13" s="1">
        <v>1</v>
      </c>
      <c r="B13" s="1" t="s">
        <v>853</v>
      </c>
      <c r="C13" s="3" t="s">
        <v>858</v>
      </c>
      <c r="D13" s="2" t="s">
        <v>1390</v>
      </c>
      <c r="F13" s="4">
        <v>3</v>
      </c>
      <c r="G13" s="2" t="s">
        <v>95</v>
      </c>
    </row>
    <row r="14" spans="1:7" ht="63.75">
      <c r="A14" s="1">
        <v>3</v>
      </c>
      <c r="B14" s="1" t="s">
        <v>853</v>
      </c>
      <c r="C14" s="3" t="s">
        <v>858</v>
      </c>
      <c r="D14" s="2" t="s">
        <v>1391</v>
      </c>
      <c r="F14" s="4">
        <v>3</v>
      </c>
      <c r="G14" s="2" t="s">
        <v>96</v>
      </c>
    </row>
    <row r="15" spans="1:7" ht="63.75">
      <c r="B15" s="1" t="s">
        <v>853</v>
      </c>
      <c r="C15" s="3" t="s">
        <v>858</v>
      </c>
      <c r="D15" s="17" t="s">
        <v>920</v>
      </c>
      <c r="F15" s="4">
        <v>3</v>
      </c>
    </row>
    <row r="16" spans="1:7" ht="38.25">
      <c r="A16" s="1">
        <v>3</v>
      </c>
      <c r="B16" s="1" t="s">
        <v>853</v>
      </c>
      <c r="C16" s="3" t="s">
        <v>859</v>
      </c>
      <c r="D16" s="2" t="s">
        <v>1391</v>
      </c>
      <c r="F16" s="4">
        <v>3</v>
      </c>
      <c r="G16" s="2" t="s">
        <v>96</v>
      </c>
    </row>
    <row r="17" spans="1:7" ht="38.25">
      <c r="A17" s="1">
        <v>3</v>
      </c>
      <c r="B17" s="1" t="s">
        <v>853</v>
      </c>
      <c r="C17" s="3" t="s">
        <v>859</v>
      </c>
      <c r="D17" s="17" t="s">
        <v>1392</v>
      </c>
      <c r="F17" s="4">
        <v>3</v>
      </c>
    </row>
    <row r="18" spans="1:7" ht="38.25">
      <c r="A18" s="1">
        <v>2</v>
      </c>
      <c r="B18" s="1" t="s">
        <v>853</v>
      </c>
      <c r="C18" s="3" t="s">
        <v>859</v>
      </c>
      <c r="D18" s="2" t="s">
        <v>1393</v>
      </c>
      <c r="F18" s="4">
        <v>3</v>
      </c>
      <c r="G18" s="2" t="s">
        <v>97</v>
      </c>
    </row>
    <row r="19" spans="1:7" ht="38.25">
      <c r="A19" s="1">
        <v>3</v>
      </c>
      <c r="B19" s="1" t="s">
        <v>853</v>
      </c>
      <c r="C19" s="3" t="s">
        <v>859</v>
      </c>
      <c r="D19" s="17" t="s">
        <v>1394</v>
      </c>
      <c r="F19" s="4">
        <v>3</v>
      </c>
      <c r="G19" s="2" t="s">
        <v>97</v>
      </c>
    </row>
    <row r="20" spans="1:7" ht="38.25">
      <c r="A20" s="1">
        <v>2</v>
      </c>
      <c r="B20" s="1" t="s">
        <v>853</v>
      </c>
      <c r="C20" s="3" t="s">
        <v>859</v>
      </c>
      <c r="D20" s="17" t="s">
        <v>1395</v>
      </c>
      <c r="F20" s="4">
        <v>1</v>
      </c>
    </row>
    <row r="21" spans="1:7" ht="38.25">
      <c r="A21" s="1">
        <v>2</v>
      </c>
      <c r="B21" s="1" t="s">
        <v>853</v>
      </c>
      <c r="C21" s="3" t="s">
        <v>859</v>
      </c>
      <c r="D21" s="17" t="s">
        <v>1389</v>
      </c>
      <c r="F21" s="4">
        <v>2</v>
      </c>
    </row>
    <row r="22" spans="1:7" ht="38.25">
      <c r="A22" s="1">
        <v>1</v>
      </c>
      <c r="B22" s="1" t="s">
        <v>853</v>
      </c>
      <c r="C22" s="3" t="s">
        <v>859</v>
      </c>
      <c r="D22" s="17" t="s">
        <v>1396</v>
      </c>
    </row>
    <row r="23" spans="1:7" ht="38.25">
      <c r="A23" s="1">
        <v>1</v>
      </c>
      <c r="B23" s="1" t="s">
        <v>853</v>
      </c>
      <c r="C23" s="3" t="s">
        <v>859</v>
      </c>
      <c r="D23" s="17" t="s">
        <v>1397</v>
      </c>
      <c r="F23" s="4">
        <v>3</v>
      </c>
    </row>
    <row r="24" spans="1:7" ht="38.25">
      <c r="A24" s="1">
        <v>4</v>
      </c>
      <c r="B24" s="1" t="s">
        <v>853</v>
      </c>
      <c r="C24" s="3" t="s">
        <v>859</v>
      </c>
      <c r="D24" s="17" t="s">
        <v>1397</v>
      </c>
      <c r="F24" s="4">
        <v>3</v>
      </c>
    </row>
    <row r="25" spans="1:7" ht="63.75">
      <c r="A25" s="1">
        <v>1</v>
      </c>
      <c r="B25" s="1" t="s">
        <v>853</v>
      </c>
      <c r="C25" s="3" t="s">
        <v>860</v>
      </c>
      <c r="D25" s="2" t="s">
        <v>326</v>
      </c>
      <c r="F25" s="4">
        <v>3</v>
      </c>
    </row>
    <row r="26" spans="1:7" ht="63.75">
      <c r="A26" s="1">
        <v>2</v>
      </c>
      <c r="B26" s="1" t="s">
        <v>853</v>
      </c>
      <c r="C26" s="3" t="s">
        <v>860</v>
      </c>
      <c r="D26" s="2" t="s">
        <v>326</v>
      </c>
      <c r="F26" s="4">
        <v>3</v>
      </c>
    </row>
    <row r="27" spans="1:7" ht="63.75">
      <c r="A27" s="1">
        <v>3</v>
      </c>
      <c r="B27" s="1" t="s">
        <v>853</v>
      </c>
      <c r="C27" s="3" t="s">
        <v>860</v>
      </c>
      <c r="D27" s="2" t="s">
        <v>326</v>
      </c>
      <c r="F27" s="4">
        <v>3</v>
      </c>
    </row>
    <row r="28" spans="1:7" ht="63.75">
      <c r="A28" s="1">
        <v>4</v>
      </c>
      <c r="B28" s="1" t="s">
        <v>853</v>
      </c>
      <c r="C28" s="3" t="s">
        <v>860</v>
      </c>
      <c r="D28" s="2" t="s">
        <v>326</v>
      </c>
      <c r="F28" s="4">
        <v>3</v>
      </c>
    </row>
    <row r="29" spans="1:7" ht="63.75">
      <c r="A29" s="1">
        <v>5</v>
      </c>
      <c r="B29" s="1" t="s">
        <v>853</v>
      </c>
      <c r="C29" s="3" t="s">
        <v>860</v>
      </c>
      <c r="D29" s="2" t="s">
        <v>326</v>
      </c>
      <c r="F29" s="4">
        <v>3</v>
      </c>
    </row>
    <row r="30" spans="1:7" ht="63.75">
      <c r="A30" s="1">
        <v>6</v>
      </c>
      <c r="B30" s="1" t="s">
        <v>853</v>
      </c>
      <c r="C30" s="3" t="s">
        <v>860</v>
      </c>
      <c r="D30" s="2" t="s">
        <v>326</v>
      </c>
      <c r="F30" s="4">
        <v>3</v>
      </c>
    </row>
    <row r="31" spans="1:7" ht="63.75">
      <c r="B31" s="1" t="s">
        <v>853</v>
      </c>
      <c r="C31" s="3" t="s">
        <v>860</v>
      </c>
      <c r="D31" s="17" t="s">
        <v>1398</v>
      </c>
      <c r="F31" s="4">
        <v>3</v>
      </c>
    </row>
    <row r="32" spans="1:7" ht="63.75">
      <c r="A32" s="1">
        <v>2</v>
      </c>
      <c r="B32" s="1" t="s">
        <v>853</v>
      </c>
      <c r="C32" s="3" t="s">
        <v>860</v>
      </c>
      <c r="D32" s="17" t="s">
        <v>327</v>
      </c>
      <c r="F32" s="4">
        <v>1</v>
      </c>
    </row>
    <row r="33" spans="1:7" ht="63.75">
      <c r="A33" s="1">
        <v>2</v>
      </c>
      <c r="B33" s="1" t="s">
        <v>853</v>
      </c>
      <c r="C33" s="3" t="s">
        <v>860</v>
      </c>
      <c r="D33" s="2" t="s">
        <v>1393</v>
      </c>
      <c r="F33" s="4">
        <v>3</v>
      </c>
      <c r="G33" s="2" t="s">
        <v>97</v>
      </c>
    </row>
    <row r="34" spans="1:7" ht="63.75">
      <c r="A34" s="1">
        <v>2</v>
      </c>
      <c r="B34" s="1" t="s">
        <v>853</v>
      </c>
      <c r="C34" s="3" t="s">
        <v>860</v>
      </c>
      <c r="D34" s="17" t="s">
        <v>1389</v>
      </c>
      <c r="F34" s="4">
        <v>2</v>
      </c>
    </row>
    <row r="35" spans="1:7" ht="63.75">
      <c r="A35" s="1">
        <v>1</v>
      </c>
      <c r="B35" s="1" t="s">
        <v>853</v>
      </c>
      <c r="C35" s="3" t="s">
        <v>860</v>
      </c>
      <c r="D35" s="17" t="s">
        <v>1396</v>
      </c>
    </row>
    <row r="36" spans="1:7" ht="51">
      <c r="A36" s="1">
        <v>3</v>
      </c>
      <c r="B36" s="1" t="s">
        <v>853</v>
      </c>
      <c r="C36" s="2" t="s">
        <v>861</v>
      </c>
      <c r="D36" s="17" t="s">
        <v>1399</v>
      </c>
      <c r="F36" s="4">
        <v>3</v>
      </c>
    </row>
    <row r="37" spans="1:7" ht="51">
      <c r="A37" s="1">
        <v>2</v>
      </c>
      <c r="B37" s="1" t="s">
        <v>853</v>
      </c>
      <c r="C37" s="2" t="s">
        <v>861</v>
      </c>
      <c r="D37" s="2" t="s">
        <v>1400</v>
      </c>
      <c r="F37" s="4">
        <v>3</v>
      </c>
      <c r="G37" s="2" t="s">
        <v>98</v>
      </c>
    </row>
    <row r="38" spans="1:7" ht="51">
      <c r="A38" s="1">
        <v>2</v>
      </c>
      <c r="B38" s="1" t="s">
        <v>853</v>
      </c>
      <c r="C38" s="2" t="s">
        <v>861</v>
      </c>
      <c r="D38" s="17" t="s">
        <v>1388</v>
      </c>
      <c r="F38" s="4">
        <v>1</v>
      </c>
    </row>
    <row r="39" spans="1:7" ht="51">
      <c r="A39" s="1">
        <v>2</v>
      </c>
      <c r="B39" s="1" t="s">
        <v>853</v>
      </c>
      <c r="C39" s="2" t="s">
        <v>861</v>
      </c>
      <c r="D39" s="17" t="s">
        <v>1389</v>
      </c>
      <c r="F39" s="4">
        <v>2</v>
      </c>
    </row>
    <row r="40" spans="1:7" ht="51">
      <c r="A40" s="1">
        <v>2</v>
      </c>
      <c r="B40" s="1" t="s">
        <v>853</v>
      </c>
      <c r="C40" s="2" t="s">
        <v>861</v>
      </c>
      <c r="D40" s="17" t="s">
        <v>1395</v>
      </c>
      <c r="F40" s="4">
        <v>1</v>
      </c>
    </row>
    <row r="41" spans="1:7" ht="51">
      <c r="A41" s="1">
        <v>2</v>
      </c>
      <c r="B41" s="1" t="s">
        <v>853</v>
      </c>
      <c r="C41" s="2" t="s">
        <v>861</v>
      </c>
      <c r="D41" s="17" t="s">
        <v>1401</v>
      </c>
      <c r="F41" s="4">
        <v>2</v>
      </c>
    </row>
    <row r="42" spans="1:7" ht="51">
      <c r="A42" s="1">
        <v>1</v>
      </c>
      <c r="B42" s="1" t="s">
        <v>853</v>
      </c>
      <c r="C42" s="2" t="s">
        <v>861</v>
      </c>
      <c r="D42" s="17" t="s">
        <v>1396</v>
      </c>
    </row>
    <row r="43" spans="1:7" ht="51">
      <c r="A43" s="1">
        <v>1</v>
      </c>
      <c r="B43" s="1" t="s">
        <v>853</v>
      </c>
      <c r="C43" s="2" t="s">
        <v>862</v>
      </c>
      <c r="D43" s="2" t="s">
        <v>326</v>
      </c>
      <c r="F43" s="4">
        <v>3</v>
      </c>
    </row>
    <row r="44" spans="1:7" ht="51">
      <c r="A44" s="1">
        <v>2</v>
      </c>
      <c r="B44" s="1" t="s">
        <v>853</v>
      </c>
      <c r="C44" s="2" t="s">
        <v>862</v>
      </c>
      <c r="D44" s="2" t="s">
        <v>326</v>
      </c>
      <c r="F44" s="4">
        <v>3</v>
      </c>
    </row>
    <row r="45" spans="1:7" ht="51">
      <c r="A45" s="1">
        <v>3</v>
      </c>
      <c r="B45" s="1" t="s">
        <v>853</v>
      </c>
      <c r="C45" s="2" t="s">
        <v>862</v>
      </c>
      <c r="D45" s="2" t="s">
        <v>326</v>
      </c>
      <c r="F45" s="4">
        <v>3</v>
      </c>
    </row>
    <row r="46" spans="1:7" ht="51">
      <c r="A46" s="1">
        <v>4</v>
      </c>
      <c r="B46" s="1" t="s">
        <v>853</v>
      </c>
      <c r="C46" s="2" t="s">
        <v>862</v>
      </c>
      <c r="D46" s="2" t="s">
        <v>326</v>
      </c>
      <c r="F46" s="4">
        <v>3</v>
      </c>
    </row>
    <row r="47" spans="1:7" ht="51">
      <c r="A47" s="1">
        <v>5</v>
      </c>
      <c r="B47" s="1" t="s">
        <v>853</v>
      </c>
      <c r="C47" s="2" t="s">
        <v>862</v>
      </c>
      <c r="D47" s="2" t="s">
        <v>326</v>
      </c>
      <c r="F47" s="4">
        <v>3</v>
      </c>
    </row>
    <row r="48" spans="1:7" ht="51">
      <c r="A48" s="1">
        <v>6</v>
      </c>
      <c r="B48" s="1" t="s">
        <v>853</v>
      </c>
      <c r="C48" s="2" t="s">
        <v>862</v>
      </c>
      <c r="D48" s="2" t="s">
        <v>326</v>
      </c>
      <c r="F48" s="4">
        <v>3</v>
      </c>
    </row>
    <row r="49" spans="1:7" ht="51">
      <c r="B49" s="1" t="s">
        <v>854</v>
      </c>
      <c r="C49" s="3" t="s">
        <v>863</v>
      </c>
    </row>
    <row r="50" spans="1:7" ht="38.25">
      <c r="A50" s="1">
        <v>2</v>
      </c>
      <c r="B50" s="1" t="s">
        <v>854</v>
      </c>
      <c r="C50" s="3" t="s">
        <v>864</v>
      </c>
      <c r="D50" s="17" t="s">
        <v>1404</v>
      </c>
      <c r="F50" s="4">
        <v>1</v>
      </c>
    </row>
    <row r="51" spans="1:7" ht="76.5">
      <c r="A51" s="1">
        <v>2</v>
      </c>
      <c r="B51" s="1" t="s">
        <v>854</v>
      </c>
      <c r="C51" s="3" t="s">
        <v>865</v>
      </c>
      <c r="D51" s="17" t="s">
        <v>328</v>
      </c>
      <c r="F51" s="4">
        <v>3</v>
      </c>
      <c r="G51" s="2" t="s">
        <v>99</v>
      </c>
    </row>
    <row r="52" spans="1:7" ht="76.5">
      <c r="A52" s="1">
        <v>2</v>
      </c>
      <c r="B52" s="1" t="s">
        <v>854</v>
      </c>
      <c r="C52" s="3" t="s">
        <v>865</v>
      </c>
      <c r="D52" s="17" t="s">
        <v>1405</v>
      </c>
      <c r="F52" s="4">
        <v>3</v>
      </c>
      <c r="G52" s="2" t="s">
        <v>100</v>
      </c>
    </row>
    <row r="53" spans="1:7" ht="76.5">
      <c r="A53" s="1">
        <v>2</v>
      </c>
      <c r="B53" s="1" t="s">
        <v>854</v>
      </c>
      <c r="C53" s="3" t="s">
        <v>865</v>
      </c>
      <c r="D53" s="17" t="s">
        <v>1404</v>
      </c>
      <c r="F53" s="4">
        <v>1</v>
      </c>
    </row>
    <row r="54" spans="1:7" ht="63.75">
      <c r="A54" s="1">
        <v>2</v>
      </c>
      <c r="B54" s="1" t="s">
        <v>854</v>
      </c>
      <c r="C54" s="3" t="s">
        <v>866</v>
      </c>
      <c r="D54" s="17" t="s">
        <v>328</v>
      </c>
      <c r="F54" s="4">
        <v>3</v>
      </c>
      <c r="G54" s="2" t="s">
        <v>99</v>
      </c>
    </row>
    <row r="55" spans="1:7" ht="63.75">
      <c r="A55" s="1">
        <v>2</v>
      </c>
      <c r="B55" s="1" t="s">
        <v>854</v>
      </c>
      <c r="C55" s="3" t="s">
        <v>866</v>
      </c>
      <c r="D55" s="17" t="s">
        <v>1405</v>
      </c>
      <c r="F55" s="4">
        <v>3</v>
      </c>
      <c r="G55" s="2" t="s">
        <v>100</v>
      </c>
    </row>
    <row r="56" spans="1:7" ht="63.75">
      <c r="A56" s="1">
        <v>2</v>
      </c>
      <c r="B56" s="1" t="s">
        <v>854</v>
      </c>
      <c r="C56" s="3" t="s">
        <v>866</v>
      </c>
      <c r="D56" s="17" t="s">
        <v>1404</v>
      </c>
      <c r="F56" s="4">
        <v>1</v>
      </c>
    </row>
    <row r="57" spans="1:7" ht="25.5">
      <c r="A57" s="1">
        <v>2</v>
      </c>
      <c r="B57" s="1" t="s">
        <v>854</v>
      </c>
      <c r="C57" s="3" t="s">
        <v>867</v>
      </c>
      <c r="D57" s="17" t="s">
        <v>328</v>
      </c>
      <c r="F57" s="4">
        <v>3</v>
      </c>
      <c r="G57" s="2" t="s">
        <v>99</v>
      </c>
    </row>
    <row r="58" spans="1:7" ht="25.5">
      <c r="A58" s="1">
        <v>1</v>
      </c>
      <c r="B58" s="1" t="s">
        <v>854</v>
      </c>
      <c r="C58" s="3" t="s">
        <v>867</v>
      </c>
      <c r="D58" s="17" t="s">
        <v>1406</v>
      </c>
      <c r="F58" s="4">
        <v>2</v>
      </c>
      <c r="G58" s="2" t="s">
        <v>101</v>
      </c>
    </row>
    <row r="59" spans="1:7" ht="38.25">
      <c r="B59" s="1" t="s">
        <v>854</v>
      </c>
      <c r="C59" s="2" t="s">
        <v>868</v>
      </c>
    </row>
    <row r="60" spans="1:7" ht="89.25">
      <c r="A60" s="1">
        <v>2</v>
      </c>
      <c r="B60" s="1" t="s">
        <v>854</v>
      </c>
      <c r="C60" s="3" t="s">
        <v>869</v>
      </c>
      <c r="D60" s="17" t="s">
        <v>329</v>
      </c>
      <c r="F60" s="4">
        <v>3</v>
      </c>
    </row>
    <row r="61" spans="1:7" ht="76.5">
      <c r="B61" s="1" t="s">
        <v>854</v>
      </c>
      <c r="C61" s="3" t="s">
        <v>870</v>
      </c>
    </row>
    <row r="62" spans="1:7" ht="25.5">
      <c r="B62" s="1" t="s">
        <v>854</v>
      </c>
      <c r="C62" s="3" t="s">
        <v>871</v>
      </c>
    </row>
    <row r="63" spans="1:7" ht="38.25">
      <c r="B63" s="1" t="s">
        <v>854</v>
      </c>
      <c r="C63" s="2" t="s">
        <v>872</v>
      </c>
      <c r="D63" s="2" t="s">
        <v>1407</v>
      </c>
      <c r="F63" s="4">
        <v>3</v>
      </c>
    </row>
    <row r="64" spans="1:7" ht="63.75">
      <c r="A64" s="1">
        <v>2</v>
      </c>
      <c r="B64" s="1" t="s">
        <v>854</v>
      </c>
      <c r="C64" s="2" t="s">
        <v>873</v>
      </c>
      <c r="D64" s="2" t="s">
        <v>1408</v>
      </c>
      <c r="F64" s="4">
        <v>3</v>
      </c>
      <c r="G64" s="2" t="s">
        <v>102</v>
      </c>
    </row>
    <row r="65" spans="1:7" ht="38.25">
      <c r="A65" s="1">
        <v>2</v>
      </c>
      <c r="B65" s="1" t="s">
        <v>855</v>
      </c>
      <c r="C65" s="3" t="s">
        <v>874</v>
      </c>
      <c r="D65" s="17" t="s">
        <v>764</v>
      </c>
      <c r="F65" s="4">
        <v>3</v>
      </c>
    </row>
    <row r="66" spans="1:7" ht="38.25">
      <c r="A66" s="1">
        <v>1</v>
      </c>
      <c r="B66" s="1" t="s">
        <v>855</v>
      </c>
      <c r="C66" s="3" t="s">
        <v>874</v>
      </c>
      <c r="D66" s="2" t="s">
        <v>765</v>
      </c>
      <c r="F66" s="4">
        <v>3</v>
      </c>
      <c r="G66" s="2" t="s">
        <v>103</v>
      </c>
    </row>
    <row r="67" spans="1:7" ht="38.25">
      <c r="B67" s="1" t="s">
        <v>855</v>
      </c>
      <c r="C67" s="3" t="s">
        <v>874</v>
      </c>
      <c r="D67" s="17" t="s">
        <v>766</v>
      </c>
      <c r="F67" s="4">
        <v>3</v>
      </c>
    </row>
    <row r="68" spans="1:7" ht="38.25">
      <c r="B68" s="1" t="s">
        <v>855</v>
      </c>
      <c r="C68" s="3" t="s">
        <v>874</v>
      </c>
      <c r="D68" s="17" t="s">
        <v>767</v>
      </c>
      <c r="F68" s="4">
        <v>3</v>
      </c>
    </row>
    <row r="69" spans="1:7" ht="63.75">
      <c r="A69" s="1">
        <v>3</v>
      </c>
      <c r="B69" s="1" t="s">
        <v>855</v>
      </c>
      <c r="C69" s="3" t="s">
        <v>875</v>
      </c>
      <c r="D69" s="17" t="s">
        <v>768</v>
      </c>
      <c r="F69" s="4">
        <v>3</v>
      </c>
      <c r="G69" s="2" t="s">
        <v>93</v>
      </c>
    </row>
    <row r="70" spans="1:7" ht="178.5">
      <c r="A70" s="1">
        <v>1</v>
      </c>
      <c r="B70" s="1" t="s">
        <v>855</v>
      </c>
      <c r="C70" s="3" t="s">
        <v>876</v>
      </c>
      <c r="D70" s="17" t="s">
        <v>769</v>
      </c>
      <c r="F70" s="4">
        <v>1</v>
      </c>
    </row>
    <row r="71" spans="1:7" ht="178.5">
      <c r="A71" s="1">
        <v>2</v>
      </c>
      <c r="B71" s="1" t="s">
        <v>855</v>
      </c>
      <c r="C71" s="3" t="s">
        <v>876</v>
      </c>
      <c r="D71" s="17" t="s">
        <v>769</v>
      </c>
      <c r="F71" s="4">
        <v>1</v>
      </c>
    </row>
    <row r="72" spans="1:7" ht="178.5">
      <c r="A72" s="1">
        <v>3</v>
      </c>
      <c r="B72" s="1" t="s">
        <v>855</v>
      </c>
      <c r="C72" s="3" t="s">
        <v>876</v>
      </c>
      <c r="D72" s="17" t="s">
        <v>769</v>
      </c>
      <c r="F72" s="4">
        <v>1</v>
      </c>
    </row>
    <row r="73" spans="1:7" ht="178.5">
      <c r="A73" s="1">
        <v>4</v>
      </c>
      <c r="B73" s="1" t="s">
        <v>855</v>
      </c>
      <c r="C73" s="3" t="s">
        <v>876</v>
      </c>
      <c r="D73" s="17" t="s">
        <v>769</v>
      </c>
      <c r="F73" s="4">
        <v>1</v>
      </c>
    </row>
    <row r="74" spans="1:7" ht="178.5">
      <c r="A74" s="1">
        <v>5</v>
      </c>
      <c r="B74" s="1" t="s">
        <v>855</v>
      </c>
      <c r="C74" s="3" t="s">
        <v>876</v>
      </c>
      <c r="D74" s="17" t="s">
        <v>769</v>
      </c>
      <c r="F74" s="4">
        <v>1</v>
      </c>
    </row>
    <row r="75" spans="1:7" ht="178.5">
      <c r="A75" s="1">
        <v>6</v>
      </c>
      <c r="B75" s="1" t="s">
        <v>855</v>
      </c>
      <c r="C75" s="3" t="s">
        <v>876</v>
      </c>
      <c r="D75" s="17" t="s">
        <v>769</v>
      </c>
      <c r="F75" s="4">
        <v>1</v>
      </c>
    </row>
    <row r="76" spans="1:7" ht="178.5">
      <c r="A76" s="1">
        <v>1</v>
      </c>
      <c r="B76" s="1" t="s">
        <v>855</v>
      </c>
      <c r="C76" s="3" t="s">
        <v>876</v>
      </c>
      <c r="D76" s="2" t="s">
        <v>770</v>
      </c>
      <c r="F76" s="4">
        <v>3</v>
      </c>
      <c r="G76" s="2" t="s">
        <v>104</v>
      </c>
    </row>
    <row r="77" spans="1:7" ht="178.5">
      <c r="B77" s="1" t="s">
        <v>855</v>
      </c>
      <c r="C77" s="3" t="s">
        <v>876</v>
      </c>
    </row>
    <row r="78" spans="1:7" ht="51">
      <c r="B78" s="1" t="s">
        <v>855</v>
      </c>
      <c r="C78" s="3" t="s">
        <v>877</v>
      </c>
    </row>
    <row r="79" spans="1:7" ht="89.25">
      <c r="B79" s="1" t="s">
        <v>855</v>
      </c>
      <c r="C79" s="3" t="s">
        <v>878</v>
      </c>
      <c r="D79" s="17" t="s">
        <v>771</v>
      </c>
      <c r="F79" s="4">
        <v>3</v>
      </c>
    </row>
    <row r="80" spans="1:7" ht="89.25">
      <c r="C80" s="3" t="s">
        <v>878</v>
      </c>
      <c r="D80" s="2" t="s">
        <v>772</v>
      </c>
      <c r="F80" s="4">
        <v>3</v>
      </c>
    </row>
    <row r="81" spans="1:7" ht="89.25">
      <c r="A81" s="1">
        <v>2</v>
      </c>
      <c r="C81" s="3" t="s">
        <v>878</v>
      </c>
      <c r="D81" s="2" t="s">
        <v>773</v>
      </c>
      <c r="F81" s="4">
        <v>3</v>
      </c>
      <c r="G81" s="2" t="s">
        <v>105</v>
      </c>
    </row>
    <row r="82" spans="1:7" ht="89.25">
      <c r="A82" s="1">
        <v>2</v>
      </c>
      <c r="B82" s="1" t="s">
        <v>855</v>
      </c>
      <c r="C82" s="3" t="s">
        <v>878</v>
      </c>
      <c r="D82" s="2" t="s">
        <v>774</v>
      </c>
      <c r="F82" s="4">
        <v>3</v>
      </c>
      <c r="G82" s="2" t="s">
        <v>105</v>
      </c>
    </row>
    <row r="83" spans="1:7" ht="89.25">
      <c r="A83" s="1">
        <v>2</v>
      </c>
      <c r="B83" s="1" t="s">
        <v>855</v>
      </c>
      <c r="C83" s="3" t="s">
        <v>878</v>
      </c>
      <c r="D83" s="2" t="s">
        <v>775</v>
      </c>
      <c r="F83" s="4">
        <v>3</v>
      </c>
      <c r="G83" s="2" t="s">
        <v>106</v>
      </c>
    </row>
    <row r="84" spans="1:7" ht="102">
      <c r="A84" s="1">
        <v>2</v>
      </c>
      <c r="B84" s="1" t="s">
        <v>855</v>
      </c>
      <c r="C84" s="3" t="s">
        <v>879</v>
      </c>
      <c r="D84" s="2" t="s">
        <v>776</v>
      </c>
      <c r="F84" s="4">
        <v>3</v>
      </c>
      <c r="G84" s="2" t="s">
        <v>107</v>
      </c>
    </row>
    <row r="85" spans="1:7" ht="102">
      <c r="A85" s="1">
        <v>2</v>
      </c>
      <c r="B85" s="1" t="s">
        <v>855</v>
      </c>
      <c r="C85" s="3" t="s">
        <v>879</v>
      </c>
      <c r="D85" s="17" t="s">
        <v>777</v>
      </c>
      <c r="F85" s="4">
        <v>3</v>
      </c>
    </row>
    <row r="86" spans="1:7" ht="51">
      <c r="A86" s="1">
        <v>3</v>
      </c>
      <c r="B86" s="1" t="s">
        <v>940</v>
      </c>
      <c r="C86" s="2" t="s">
        <v>880</v>
      </c>
      <c r="D86" s="2" t="s">
        <v>778</v>
      </c>
      <c r="F86" s="4">
        <v>3</v>
      </c>
    </row>
    <row r="87" spans="1:7" ht="51">
      <c r="A87" s="1">
        <v>3</v>
      </c>
      <c r="B87" s="1" t="s">
        <v>940</v>
      </c>
      <c r="C87" s="2" t="s">
        <v>880</v>
      </c>
      <c r="D87" s="17" t="s">
        <v>779</v>
      </c>
      <c r="F87" s="4">
        <v>3</v>
      </c>
      <c r="G87" s="2" t="s">
        <v>108</v>
      </c>
    </row>
    <row r="88" spans="1:7" ht="51">
      <c r="A88" s="1">
        <v>3</v>
      </c>
      <c r="B88" s="1" t="s">
        <v>940</v>
      </c>
      <c r="C88" s="2" t="s">
        <v>880</v>
      </c>
      <c r="D88" s="17" t="s">
        <v>780</v>
      </c>
      <c r="F88" s="4">
        <v>3</v>
      </c>
      <c r="G88" s="2" t="s">
        <v>109</v>
      </c>
    </row>
    <row r="89" spans="1:7" ht="51">
      <c r="A89" s="1">
        <v>3</v>
      </c>
      <c r="B89" s="1" t="s">
        <v>940</v>
      </c>
      <c r="C89" s="2" t="s">
        <v>880</v>
      </c>
      <c r="D89" s="17" t="s">
        <v>198</v>
      </c>
      <c r="F89" s="4">
        <v>3</v>
      </c>
      <c r="G89" s="2" t="s">
        <v>110</v>
      </c>
    </row>
    <row r="90" spans="1:7" ht="51">
      <c r="A90" s="1">
        <v>3</v>
      </c>
      <c r="B90" s="1" t="s">
        <v>940</v>
      </c>
      <c r="C90" s="2" t="s">
        <v>880</v>
      </c>
      <c r="D90" s="17" t="s">
        <v>330</v>
      </c>
      <c r="F90" s="4">
        <v>3</v>
      </c>
    </row>
    <row r="91" spans="1:7" ht="51">
      <c r="A91" s="1">
        <v>3</v>
      </c>
      <c r="B91" s="1" t="s">
        <v>940</v>
      </c>
      <c r="C91" s="2" t="s">
        <v>880</v>
      </c>
      <c r="D91" s="17" t="s">
        <v>331</v>
      </c>
      <c r="F91" s="4">
        <v>3</v>
      </c>
    </row>
    <row r="92" spans="1:7" ht="63.75">
      <c r="A92" s="1">
        <v>3</v>
      </c>
      <c r="B92" s="1" t="s">
        <v>940</v>
      </c>
      <c r="C92" s="2" t="s">
        <v>880</v>
      </c>
      <c r="D92" s="17" t="s">
        <v>199</v>
      </c>
      <c r="F92" s="4">
        <v>3</v>
      </c>
      <c r="G92" s="2" t="s">
        <v>111</v>
      </c>
    </row>
    <row r="93" spans="1:7" ht="51">
      <c r="A93" s="1">
        <v>3</v>
      </c>
      <c r="B93" s="1" t="s">
        <v>940</v>
      </c>
      <c r="C93" s="2" t="s">
        <v>880</v>
      </c>
      <c r="D93" s="2" t="s">
        <v>200</v>
      </c>
      <c r="F93" s="4">
        <v>3</v>
      </c>
      <c r="G93" s="2" t="s">
        <v>112</v>
      </c>
    </row>
    <row r="94" spans="1:7" ht="51">
      <c r="A94" s="1">
        <v>3</v>
      </c>
      <c r="B94" s="1" t="s">
        <v>940</v>
      </c>
      <c r="C94" s="2" t="s">
        <v>880</v>
      </c>
      <c r="D94" s="2" t="s">
        <v>201</v>
      </c>
      <c r="F94" s="4">
        <v>3</v>
      </c>
      <c r="G94" s="2" t="s">
        <v>113</v>
      </c>
    </row>
    <row r="95" spans="1:7" ht="63.75">
      <c r="A95" s="1">
        <v>3</v>
      </c>
      <c r="B95" s="1" t="s">
        <v>940</v>
      </c>
      <c r="C95" s="3" t="s">
        <v>881</v>
      </c>
      <c r="D95" s="2" t="s">
        <v>202</v>
      </c>
      <c r="F95" s="4">
        <v>3</v>
      </c>
      <c r="G95" s="2">
        <v>298</v>
      </c>
    </row>
    <row r="96" spans="1:7" ht="63.75">
      <c r="A96" s="1">
        <v>3</v>
      </c>
      <c r="B96" s="1" t="s">
        <v>940</v>
      </c>
      <c r="C96" s="3" t="s">
        <v>881</v>
      </c>
      <c r="D96" s="17" t="s">
        <v>332</v>
      </c>
      <c r="F96" s="4">
        <v>3</v>
      </c>
    </row>
    <row r="97" spans="1:6" ht="63.75">
      <c r="B97" s="1" t="s">
        <v>940</v>
      </c>
      <c r="C97" s="3" t="s">
        <v>881</v>
      </c>
      <c r="D97" s="17" t="s">
        <v>814</v>
      </c>
      <c r="F97" s="4">
        <v>2</v>
      </c>
    </row>
    <row r="98" spans="1:6" ht="63.75">
      <c r="B98" s="1" t="s">
        <v>940</v>
      </c>
      <c r="C98" s="3" t="s">
        <v>881</v>
      </c>
      <c r="D98" s="17" t="s">
        <v>815</v>
      </c>
      <c r="F98" s="4">
        <v>2</v>
      </c>
    </row>
    <row r="99" spans="1:6" ht="63.75">
      <c r="B99" s="1" t="s">
        <v>940</v>
      </c>
      <c r="C99" s="3" t="s">
        <v>881</v>
      </c>
      <c r="D99" s="17" t="s">
        <v>816</v>
      </c>
      <c r="F99" s="4">
        <v>2</v>
      </c>
    </row>
    <row r="100" spans="1:6" ht="63.75">
      <c r="B100" s="1" t="s">
        <v>940</v>
      </c>
      <c r="C100" s="3" t="s">
        <v>881</v>
      </c>
      <c r="D100" s="17" t="s">
        <v>817</v>
      </c>
      <c r="F100" s="4">
        <v>3</v>
      </c>
    </row>
    <row r="101" spans="1:6" ht="63.75">
      <c r="B101" s="1" t="s">
        <v>940</v>
      </c>
      <c r="C101" s="3" t="s">
        <v>881</v>
      </c>
      <c r="D101" s="2" t="s">
        <v>506</v>
      </c>
      <c r="F101" s="4">
        <v>3</v>
      </c>
    </row>
    <row r="102" spans="1:6" ht="38.25">
      <c r="B102" s="1" t="s">
        <v>940</v>
      </c>
      <c r="C102" s="2" t="s">
        <v>882</v>
      </c>
      <c r="D102" s="17" t="s">
        <v>818</v>
      </c>
      <c r="F102" s="4">
        <v>3</v>
      </c>
    </row>
    <row r="103" spans="1:6" ht="38.25">
      <c r="B103" s="1" t="s">
        <v>940</v>
      </c>
      <c r="C103" s="2" t="s">
        <v>882</v>
      </c>
      <c r="D103" s="2" t="s">
        <v>819</v>
      </c>
      <c r="F103" s="4">
        <v>3</v>
      </c>
    </row>
    <row r="104" spans="1:6" ht="51">
      <c r="A104" s="1">
        <v>1</v>
      </c>
      <c r="B104" s="1" t="s">
        <v>940</v>
      </c>
      <c r="C104" s="2" t="s">
        <v>883</v>
      </c>
      <c r="D104" s="17" t="s">
        <v>287</v>
      </c>
      <c r="F104" s="4">
        <v>3</v>
      </c>
    </row>
    <row r="105" spans="1:6" ht="51">
      <c r="A105" s="1">
        <v>2</v>
      </c>
      <c r="B105" s="1" t="s">
        <v>940</v>
      </c>
      <c r="C105" s="2" t="s">
        <v>883</v>
      </c>
      <c r="D105" s="17" t="s">
        <v>287</v>
      </c>
      <c r="F105" s="4">
        <v>3</v>
      </c>
    </row>
    <row r="106" spans="1:6" ht="51">
      <c r="A106" s="1">
        <v>3</v>
      </c>
      <c r="B106" s="1" t="s">
        <v>940</v>
      </c>
      <c r="C106" s="2" t="s">
        <v>883</v>
      </c>
      <c r="D106" s="17" t="s">
        <v>287</v>
      </c>
      <c r="F106" s="4">
        <v>3</v>
      </c>
    </row>
    <row r="107" spans="1:6" ht="51">
      <c r="A107" s="1">
        <v>4</v>
      </c>
      <c r="B107" s="1" t="s">
        <v>940</v>
      </c>
      <c r="C107" s="2" t="s">
        <v>883</v>
      </c>
      <c r="D107" s="17" t="s">
        <v>287</v>
      </c>
      <c r="F107" s="4">
        <v>3</v>
      </c>
    </row>
    <row r="108" spans="1:6" ht="51">
      <c r="A108" s="1">
        <v>5</v>
      </c>
      <c r="B108" s="1" t="s">
        <v>940</v>
      </c>
      <c r="C108" s="2" t="s">
        <v>883</v>
      </c>
      <c r="D108" s="17" t="s">
        <v>287</v>
      </c>
      <c r="F108" s="4">
        <v>3</v>
      </c>
    </row>
    <row r="109" spans="1:6" ht="51">
      <c r="A109" s="1">
        <v>6</v>
      </c>
      <c r="B109" s="1" t="s">
        <v>940</v>
      </c>
      <c r="C109" s="2" t="s">
        <v>883</v>
      </c>
      <c r="D109" s="17" t="s">
        <v>287</v>
      </c>
      <c r="F109" s="4">
        <v>3</v>
      </c>
    </row>
    <row r="110" spans="1:6" ht="51">
      <c r="A110" s="1">
        <v>3</v>
      </c>
      <c r="B110" s="1" t="s">
        <v>940</v>
      </c>
      <c r="C110" s="2" t="s">
        <v>883</v>
      </c>
      <c r="D110" s="17" t="s">
        <v>332</v>
      </c>
      <c r="F110" s="4">
        <v>3</v>
      </c>
    </row>
    <row r="111" spans="1:6" ht="51">
      <c r="B111" s="1" t="s">
        <v>940</v>
      </c>
      <c r="C111" s="2" t="s">
        <v>883</v>
      </c>
      <c r="D111" s="2" t="s">
        <v>288</v>
      </c>
      <c r="F111" s="4">
        <v>3</v>
      </c>
    </row>
    <row r="112" spans="1:6" ht="51">
      <c r="B112" s="1" t="s">
        <v>940</v>
      </c>
      <c r="C112" s="2" t="s">
        <v>883</v>
      </c>
      <c r="D112" s="17" t="s">
        <v>289</v>
      </c>
      <c r="F112" s="4">
        <v>3</v>
      </c>
    </row>
    <row r="113" spans="1:7" ht="51">
      <c r="B113" s="1" t="s">
        <v>940</v>
      </c>
      <c r="C113" s="2" t="s">
        <v>883</v>
      </c>
      <c r="D113" s="17" t="s">
        <v>290</v>
      </c>
      <c r="F113" s="4">
        <v>3</v>
      </c>
    </row>
    <row r="114" spans="1:7" ht="51">
      <c r="B114" s="1" t="s">
        <v>940</v>
      </c>
      <c r="C114" s="2" t="s">
        <v>883</v>
      </c>
      <c r="D114" s="17" t="s">
        <v>291</v>
      </c>
      <c r="F114" s="4">
        <v>3</v>
      </c>
    </row>
    <row r="115" spans="1:7" ht="38.25">
      <c r="B115" s="1" t="s">
        <v>940</v>
      </c>
      <c r="C115" s="2" t="s">
        <v>884</v>
      </c>
    </row>
    <row r="116" spans="1:7" ht="51">
      <c r="A116" s="1">
        <v>3</v>
      </c>
      <c r="B116" s="1" t="s">
        <v>940</v>
      </c>
      <c r="C116" s="2" t="s">
        <v>885</v>
      </c>
      <c r="D116" s="17" t="s">
        <v>332</v>
      </c>
      <c r="F116" s="4">
        <v>3</v>
      </c>
    </row>
    <row r="117" spans="1:7" ht="51">
      <c r="B117" s="1" t="s">
        <v>940</v>
      </c>
      <c r="C117" s="2" t="s">
        <v>885</v>
      </c>
      <c r="D117" s="2" t="s">
        <v>333</v>
      </c>
      <c r="F117" s="4">
        <v>3</v>
      </c>
    </row>
    <row r="118" spans="1:7" ht="51">
      <c r="B118" s="1" t="s">
        <v>940</v>
      </c>
      <c r="C118" s="2" t="s">
        <v>885</v>
      </c>
      <c r="D118" s="17" t="s">
        <v>292</v>
      </c>
      <c r="F118" s="4">
        <v>3</v>
      </c>
    </row>
    <row r="119" spans="1:7" ht="89.25">
      <c r="B119" s="1" t="s">
        <v>1413</v>
      </c>
      <c r="C119" s="3" t="s">
        <v>886</v>
      </c>
      <c r="D119" s="17" t="s">
        <v>293</v>
      </c>
      <c r="F119" s="4">
        <v>3</v>
      </c>
    </row>
    <row r="120" spans="1:7" ht="89.25">
      <c r="B120" s="1" t="s">
        <v>1413</v>
      </c>
      <c r="C120" s="3" t="s">
        <v>886</v>
      </c>
      <c r="D120" s="17" t="s">
        <v>294</v>
      </c>
      <c r="F120" s="4">
        <v>3</v>
      </c>
    </row>
    <row r="121" spans="1:7" ht="89.25">
      <c r="B121" s="1" t="s">
        <v>1413</v>
      </c>
      <c r="C121" s="3" t="s">
        <v>886</v>
      </c>
      <c r="D121" s="17" t="s">
        <v>295</v>
      </c>
      <c r="F121" s="4">
        <v>3</v>
      </c>
    </row>
    <row r="122" spans="1:7" ht="89.25">
      <c r="B122" s="1" t="s">
        <v>1413</v>
      </c>
      <c r="C122" s="3" t="s">
        <v>886</v>
      </c>
      <c r="D122" s="17" t="s">
        <v>296</v>
      </c>
      <c r="F122" s="4">
        <v>3</v>
      </c>
    </row>
    <row r="123" spans="1:7" ht="89.25">
      <c r="B123" s="1" t="s">
        <v>1413</v>
      </c>
      <c r="C123" s="3" t="s">
        <v>886</v>
      </c>
      <c r="D123" s="2" t="s">
        <v>297</v>
      </c>
      <c r="F123" s="4">
        <v>3</v>
      </c>
    </row>
    <row r="124" spans="1:7" ht="89.25">
      <c r="A124" s="1">
        <v>1</v>
      </c>
      <c r="B124" s="1" t="s">
        <v>1413</v>
      </c>
      <c r="C124" s="3" t="s">
        <v>886</v>
      </c>
      <c r="D124" s="17" t="s">
        <v>298</v>
      </c>
      <c r="F124" s="4">
        <v>3</v>
      </c>
      <c r="G124" s="2" t="s">
        <v>114</v>
      </c>
    </row>
    <row r="125" spans="1:7" ht="114.75">
      <c r="B125" s="1" t="s">
        <v>1413</v>
      </c>
      <c r="C125" s="3" t="s">
        <v>887</v>
      </c>
      <c r="D125" s="2" t="s">
        <v>299</v>
      </c>
      <c r="F125" s="4">
        <v>3</v>
      </c>
    </row>
    <row r="126" spans="1:7" ht="114.75">
      <c r="B126" s="1" t="s">
        <v>1413</v>
      </c>
      <c r="C126" s="3" t="s">
        <v>887</v>
      </c>
      <c r="D126" s="17" t="s">
        <v>300</v>
      </c>
      <c r="F126" s="4">
        <v>3</v>
      </c>
    </row>
    <row r="127" spans="1:7" ht="114.75">
      <c r="B127" s="1" t="s">
        <v>1413</v>
      </c>
      <c r="C127" s="3" t="s">
        <v>887</v>
      </c>
      <c r="D127" s="17" t="s">
        <v>295</v>
      </c>
      <c r="F127" s="4">
        <v>3</v>
      </c>
    </row>
    <row r="128" spans="1:7" ht="114.75">
      <c r="B128" s="1" t="s">
        <v>1413</v>
      </c>
      <c r="C128" s="3" t="s">
        <v>888</v>
      </c>
    </row>
    <row r="129" spans="1:7" ht="76.5">
      <c r="A129" s="1">
        <v>1</v>
      </c>
      <c r="B129" s="1" t="s">
        <v>1413</v>
      </c>
      <c r="C129" s="3" t="s">
        <v>889</v>
      </c>
      <c r="D129" s="2" t="s">
        <v>301</v>
      </c>
      <c r="F129" s="4">
        <v>3</v>
      </c>
      <c r="G129" s="2" t="s">
        <v>115</v>
      </c>
    </row>
    <row r="130" spans="1:7" ht="89.25">
      <c r="B130" s="1" t="s">
        <v>1413</v>
      </c>
      <c r="C130" s="3" t="s">
        <v>890</v>
      </c>
      <c r="D130" s="17" t="s">
        <v>302</v>
      </c>
      <c r="F130" s="4">
        <v>3</v>
      </c>
    </row>
    <row r="131" spans="1:7" ht="89.25">
      <c r="A131" s="1">
        <v>4</v>
      </c>
      <c r="B131" s="1" t="s">
        <v>1413</v>
      </c>
      <c r="C131" s="3" t="s">
        <v>890</v>
      </c>
      <c r="D131" s="17" t="s">
        <v>90</v>
      </c>
      <c r="F131" s="4">
        <v>2</v>
      </c>
      <c r="G131" s="2" t="s">
        <v>92</v>
      </c>
    </row>
    <row r="132" spans="1:7" ht="89.25">
      <c r="B132" s="1" t="s">
        <v>1413</v>
      </c>
      <c r="C132" s="3" t="s">
        <v>890</v>
      </c>
      <c r="D132" s="17" t="s">
        <v>303</v>
      </c>
      <c r="F132" s="4">
        <v>1</v>
      </c>
    </row>
    <row r="133" spans="1:7" ht="89.25">
      <c r="B133" s="1" t="s">
        <v>1413</v>
      </c>
      <c r="C133" s="3" t="s">
        <v>890</v>
      </c>
      <c r="D133" s="17" t="s">
        <v>304</v>
      </c>
      <c r="F133" s="4">
        <v>3</v>
      </c>
    </row>
    <row r="134" spans="1:7" ht="89.25">
      <c r="B134" s="1" t="s">
        <v>1413</v>
      </c>
      <c r="C134" s="3" t="s">
        <v>890</v>
      </c>
      <c r="D134" s="17" t="s">
        <v>305</v>
      </c>
      <c r="F134" s="4">
        <v>3</v>
      </c>
    </row>
    <row r="135" spans="1:7" ht="89.25">
      <c r="B135" s="1" t="s">
        <v>1413</v>
      </c>
      <c r="C135" s="3" t="s">
        <v>890</v>
      </c>
      <c r="D135" s="17" t="s">
        <v>306</v>
      </c>
      <c r="F135" s="4">
        <v>2</v>
      </c>
    </row>
    <row r="136" spans="1:7" ht="89.25">
      <c r="B136" s="1" t="s">
        <v>1413</v>
      </c>
      <c r="C136" s="3" t="s">
        <v>890</v>
      </c>
      <c r="D136" s="17" t="s">
        <v>307</v>
      </c>
      <c r="F136" s="4">
        <v>2</v>
      </c>
    </row>
    <row r="137" spans="1:7" ht="89.25">
      <c r="B137" s="1" t="s">
        <v>1413</v>
      </c>
      <c r="C137" s="3" t="s">
        <v>890</v>
      </c>
      <c r="D137" s="17" t="s">
        <v>308</v>
      </c>
      <c r="F137" s="4">
        <v>1</v>
      </c>
    </row>
    <row r="138" spans="1:7" ht="89.25">
      <c r="B138" s="1" t="s">
        <v>1413</v>
      </c>
      <c r="C138" s="3" t="s">
        <v>890</v>
      </c>
      <c r="D138" s="17" t="s">
        <v>309</v>
      </c>
      <c r="F138" s="4">
        <v>2</v>
      </c>
    </row>
    <row r="139" spans="1:7" ht="89.25">
      <c r="B139" s="1" t="s">
        <v>1413</v>
      </c>
      <c r="C139" s="3" t="s">
        <v>890</v>
      </c>
      <c r="D139" s="17" t="s">
        <v>310</v>
      </c>
      <c r="F139" s="4">
        <v>2</v>
      </c>
    </row>
    <row r="140" spans="1:7" ht="89.25">
      <c r="A140" s="1">
        <v>4</v>
      </c>
      <c r="B140" s="1" t="s">
        <v>1413</v>
      </c>
      <c r="C140" s="3" t="s">
        <v>890</v>
      </c>
      <c r="D140" s="2" t="s">
        <v>313</v>
      </c>
      <c r="F140" s="4">
        <v>2</v>
      </c>
      <c r="G140" s="2" t="s">
        <v>116</v>
      </c>
    </row>
    <row r="141" spans="1:7" ht="89.25">
      <c r="B141" s="1" t="s">
        <v>1413</v>
      </c>
      <c r="C141" s="3" t="s">
        <v>890</v>
      </c>
      <c r="D141" s="2" t="s">
        <v>314</v>
      </c>
      <c r="F141" s="4">
        <v>2</v>
      </c>
    </row>
    <row r="142" spans="1:7" ht="89.25">
      <c r="B142" s="1" t="s">
        <v>1413</v>
      </c>
      <c r="C142" s="3" t="s">
        <v>890</v>
      </c>
      <c r="D142" s="17" t="s">
        <v>315</v>
      </c>
      <c r="F142" s="4">
        <v>3</v>
      </c>
    </row>
    <row r="143" spans="1:7" ht="89.25">
      <c r="B143" s="1" t="s">
        <v>1413</v>
      </c>
      <c r="C143" s="3" t="s">
        <v>890</v>
      </c>
      <c r="D143" s="17" t="s">
        <v>316</v>
      </c>
      <c r="F143" s="4">
        <v>3</v>
      </c>
    </row>
    <row r="144" spans="1:7" ht="89.25">
      <c r="B144" s="1" t="s">
        <v>1413</v>
      </c>
      <c r="C144" s="3" t="s">
        <v>891</v>
      </c>
      <c r="D144" s="17" t="s">
        <v>317</v>
      </c>
      <c r="F144" s="4">
        <v>3</v>
      </c>
    </row>
    <row r="145" spans="1:7" ht="89.25">
      <c r="B145" s="1" t="s">
        <v>1413</v>
      </c>
      <c r="C145" s="3" t="s">
        <v>891</v>
      </c>
      <c r="D145" s="17" t="s">
        <v>318</v>
      </c>
      <c r="F145" s="4">
        <v>3</v>
      </c>
    </row>
    <row r="146" spans="1:7" ht="89.25">
      <c r="B146" s="1" t="s">
        <v>1413</v>
      </c>
      <c r="C146" s="3" t="s">
        <v>891</v>
      </c>
      <c r="D146" s="17" t="s">
        <v>334</v>
      </c>
      <c r="F146" s="4">
        <v>3</v>
      </c>
    </row>
    <row r="147" spans="1:7" ht="89.25">
      <c r="B147" s="1" t="s">
        <v>1413</v>
      </c>
      <c r="C147" s="3" t="s">
        <v>891</v>
      </c>
      <c r="D147" s="2" t="s">
        <v>299</v>
      </c>
      <c r="F147" s="4">
        <v>3</v>
      </c>
    </row>
    <row r="148" spans="1:7" ht="89.25">
      <c r="A148" s="1">
        <v>4</v>
      </c>
      <c r="B148" s="1" t="s">
        <v>1413</v>
      </c>
      <c r="C148" s="3" t="s">
        <v>891</v>
      </c>
      <c r="D148" s="17" t="s">
        <v>319</v>
      </c>
      <c r="F148" s="4">
        <v>3</v>
      </c>
    </row>
    <row r="149" spans="1:7" ht="51">
      <c r="B149" s="1" t="s">
        <v>1413</v>
      </c>
      <c r="C149" s="2" t="s">
        <v>892</v>
      </c>
      <c r="D149" s="8"/>
      <c r="E149" s="8"/>
      <c r="F149" s="27"/>
    </row>
    <row r="150" spans="1:7" ht="76.5">
      <c r="B150" s="1" t="s">
        <v>1413</v>
      </c>
      <c r="C150" s="3" t="s">
        <v>893</v>
      </c>
      <c r="D150" s="17" t="s">
        <v>320</v>
      </c>
    </row>
    <row r="151" spans="1:7" ht="76.5">
      <c r="B151" s="1" t="s">
        <v>1413</v>
      </c>
      <c r="C151" s="3" t="s">
        <v>893</v>
      </c>
      <c r="D151" s="17" t="s">
        <v>304</v>
      </c>
      <c r="F151" s="4">
        <v>3</v>
      </c>
    </row>
    <row r="152" spans="1:7" ht="76.5">
      <c r="B152" s="1" t="s">
        <v>1413</v>
      </c>
      <c r="C152" s="3" t="s">
        <v>893</v>
      </c>
      <c r="D152" s="17" t="s">
        <v>317</v>
      </c>
      <c r="F152" s="4">
        <v>3</v>
      </c>
    </row>
    <row r="153" spans="1:7" ht="89.25">
      <c r="A153" s="1">
        <v>4</v>
      </c>
      <c r="B153" s="1" t="s">
        <v>1413</v>
      </c>
      <c r="C153" s="3" t="s">
        <v>894</v>
      </c>
      <c r="D153" s="2" t="s">
        <v>313</v>
      </c>
      <c r="F153" s="4">
        <v>2</v>
      </c>
      <c r="G153" s="2" t="s">
        <v>116</v>
      </c>
    </row>
    <row r="154" spans="1:7" ht="89.25">
      <c r="B154" s="1" t="s">
        <v>1413</v>
      </c>
      <c r="C154" s="3" t="s">
        <v>894</v>
      </c>
      <c r="D154" s="17" t="s">
        <v>318</v>
      </c>
      <c r="F154" s="4">
        <v>3</v>
      </c>
    </row>
    <row r="155" spans="1:7" ht="25.5">
      <c r="B155" s="1" t="s">
        <v>1413</v>
      </c>
      <c r="C155" s="2" t="s">
        <v>1409</v>
      </c>
    </row>
    <row r="156" spans="1:7" ht="38.25">
      <c r="B156" s="1" t="s">
        <v>1413</v>
      </c>
      <c r="C156" s="2" t="s">
        <v>1410</v>
      </c>
      <c r="D156" s="17" t="s">
        <v>321</v>
      </c>
      <c r="F156" s="4">
        <v>3</v>
      </c>
    </row>
    <row r="157" spans="1:7" ht="38.25">
      <c r="B157" s="1" t="s">
        <v>1413</v>
      </c>
      <c r="C157" s="2" t="s">
        <v>1410</v>
      </c>
      <c r="D157" s="2" t="s">
        <v>322</v>
      </c>
      <c r="F157" s="4">
        <v>3</v>
      </c>
    </row>
    <row r="158" spans="1:7" ht="63.75">
      <c r="B158" s="1" t="s">
        <v>1413</v>
      </c>
      <c r="C158" s="3" t="s">
        <v>1411</v>
      </c>
      <c r="D158" s="17" t="s">
        <v>321</v>
      </c>
    </row>
    <row r="159" spans="1:7" ht="63.75">
      <c r="B159" s="1" t="s">
        <v>1413</v>
      </c>
      <c r="C159" s="3" t="s">
        <v>1411</v>
      </c>
      <c r="D159" s="2" t="s">
        <v>323</v>
      </c>
      <c r="F159" s="4">
        <v>3</v>
      </c>
    </row>
    <row r="160" spans="1:7" ht="63.75">
      <c r="A160" s="1">
        <v>4</v>
      </c>
      <c r="B160" s="1" t="s">
        <v>1413</v>
      </c>
      <c r="C160" s="3" t="s">
        <v>1411</v>
      </c>
      <c r="D160" s="17" t="s">
        <v>91</v>
      </c>
      <c r="F160" s="4">
        <v>3</v>
      </c>
      <c r="G160" s="2" t="s">
        <v>92</v>
      </c>
    </row>
    <row r="161" spans="1:6" ht="76.5">
      <c r="B161" s="1" t="s">
        <v>1413</v>
      </c>
      <c r="C161" s="3" t="s">
        <v>1412</v>
      </c>
      <c r="D161" s="2" t="s">
        <v>323</v>
      </c>
      <c r="F161" s="4">
        <v>3</v>
      </c>
    </row>
    <row r="163" spans="1:6" ht="25.5">
      <c r="A163" s="1">
        <v>1</v>
      </c>
      <c r="B163" s="1" t="s">
        <v>1300</v>
      </c>
      <c r="D163" s="17" t="s">
        <v>1381</v>
      </c>
    </row>
    <row r="164" spans="1:6" ht="25.5">
      <c r="A164" s="1">
        <v>2</v>
      </c>
      <c r="B164" s="1" t="s">
        <v>1300</v>
      </c>
      <c r="D164" s="17" t="s">
        <v>1381</v>
      </c>
    </row>
    <row r="165" spans="1:6" ht="25.5">
      <c r="A165" s="1">
        <v>3</v>
      </c>
      <c r="B165" s="1" t="s">
        <v>1300</v>
      </c>
      <c r="D165" s="17" t="s">
        <v>1381</v>
      </c>
    </row>
    <row r="166" spans="1:6" ht="25.5">
      <c r="A166" s="1">
        <v>4</v>
      </c>
      <c r="B166" s="1" t="s">
        <v>1300</v>
      </c>
      <c r="D166" s="17" t="s">
        <v>1381</v>
      </c>
    </row>
    <row r="167" spans="1:6" ht="25.5">
      <c r="A167" s="1">
        <v>5</v>
      </c>
      <c r="B167" s="1" t="s">
        <v>1300</v>
      </c>
      <c r="D167" s="17" t="s">
        <v>1381</v>
      </c>
    </row>
    <row r="168" spans="1:6" ht="25.5">
      <c r="A168" s="1">
        <v>6</v>
      </c>
      <c r="B168" s="1" t="s">
        <v>1300</v>
      </c>
      <c r="D168" s="17" t="s">
        <v>1381</v>
      </c>
    </row>
    <row r="169" spans="1:6" ht="25.5">
      <c r="A169" s="1">
        <v>1</v>
      </c>
      <c r="B169" s="1" t="s">
        <v>1300</v>
      </c>
      <c r="D169" s="17" t="s">
        <v>1382</v>
      </c>
    </row>
    <row r="170" spans="1:6" ht="25.5">
      <c r="A170" s="1">
        <v>2</v>
      </c>
      <c r="B170" s="1" t="s">
        <v>1300</v>
      </c>
      <c r="D170" s="17" t="s">
        <v>1382</v>
      </c>
    </row>
    <row r="171" spans="1:6" ht="25.5">
      <c r="A171" s="1">
        <v>3</v>
      </c>
      <c r="B171" s="1" t="s">
        <v>1300</v>
      </c>
      <c r="D171" s="17" t="s">
        <v>1382</v>
      </c>
    </row>
    <row r="172" spans="1:6" ht="25.5">
      <c r="A172" s="1">
        <v>4</v>
      </c>
      <c r="B172" s="1" t="s">
        <v>1300</v>
      </c>
      <c r="D172" s="17" t="s">
        <v>1382</v>
      </c>
    </row>
    <row r="173" spans="1:6" ht="25.5">
      <c r="A173" s="1">
        <v>5</v>
      </c>
      <c r="B173" s="1" t="s">
        <v>1300</v>
      </c>
      <c r="D173" s="17" t="s">
        <v>1382</v>
      </c>
    </row>
    <row r="174" spans="1:6" ht="25.5">
      <c r="A174" s="1">
        <v>6</v>
      </c>
      <c r="B174" s="1" t="s">
        <v>1300</v>
      </c>
      <c r="D174" s="17" t="s">
        <v>1382</v>
      </c>
    </row>
  </sheetData>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worksheet>
</file>

<file path=xl/worksheets/sheet9.xml><?xml version="1.0" encoding="utf-8"?>
<worksheet xmlns="http://schemas.openxmlformats.org/spreadsheetml/2006/main" xmlns:r="http://schemas.openxmlformats.org/officeDocument/2006/relationships">
  <sheetPr codeName="Sheet11" enableFormatConditionsCalculation="0">
    <tabColor indexed="60"/>
  </sheetPr>
  <dimension ref="A1:G204"/>
  <sheetViews>
    <sheetView topLeftCell="A127" zoomScaleNormal="100" zoomScaleSheetLayoutView="100" workbookViewId="0">
      <selection activeCell="G138" sqref="G138"/>
    </sheetView>
  </sheetViews>
  <sheetFormatPr defaultRowHeight="12.75"/>
  <cols>
    <col min="1" max="1" width="8.42578125" style="1" customWidth="1"/>
    <col min="2" max="2" width="8" style="1" bestFit="1" customWidth="1"/>
    <col min="3" max="3" width="48.7109375" style="2" customWidth="1"/>
    <col min="4" max="4" width="50.7109375" style="12" customWidth="1"/>
    <col min="5" max="5" width="51" style="1" customWidth="1"/>
    <col min="6" max="6" width="6.42578125" style="4" bestFit="1" customWidth="1"/>
    <col min="7" max="7" width="11" style="2" customWidth="1"/>
    <col min="8" max="16384" width="9.140625" style="8"/>
  </cols>
  <sheetData>
    <row r="1" spans="1:7" ht="18.75">
      <c r="A1" s="5" t="s">
        <v>1415</v>
      </c>
      <c r="B1" s="6"/>
      <c r="C1" s="7"/>
      <c r="D1" s="16"/>
      <c r="E1" s="7"/>
      <c r="F1" s="26"/>
      <c r="G1" s="7"/>
    </row>
    <row r="2" spans="1:7" ht="18.75">
      <c r="A2" s="5" t="s">
        <v>1047</v>
      </c>
      <c r="B2" s="6"/>
      <c r="C2" s="7"/>
      <c r="D2" s="16"/>
      <c r="E2" s="7"/>
      <c r="F2" s="26"/>
      <c r="G2" s="7"/>
    </row>
    <row r="3" spans="1:7" s="11" customFormat="1" ht="38.25">
      <c r="A3" s="9" t="s">
        <v>1305</v>
      </c>
      <c r="B3" s="9" t="s">
        <v>1039</v>
      </c>
      <c r="C3" s="10" t="s">
        <v>1041</v>
      </c>
      <c r="D3" s="9" t="s">
        <v>1044</v>
      </c>
      <c r="E3" s="9" t="s">
        <v>941</v>
      </c>
      <c r="F3" s="19" t="s">
        <v>833</v>
      </c>
      <c r="G3" s="9" t="s">
        <v>1040</v>
      </c>
    </row>
    <row r="4" spans="1:7" ht="63.75">
      <c r="A4" s="1">
        <v>1</v>
      </c>
      <c r="B4" s="1" t="s">
        <v>854</v>
      </c>
      <c r="C4" s="3" t="s">
        <v>1416</v>
      </c>
      <c r="D4" s="12" t="s">
        <v>959</v>
      </c>
      <c r="E4" s="2" t="s">
        <v>1043</v>
      </c>
      <c r="F4" s="4">
        <v>3</v>
      </c>
      <c r="G4" s="2" t="s">
        <v>132</v>
      </c>
    </row>
    <row r="5" spans="1:7" ht="63.75">
      <c r="A5" s="1">
        <v>1</v>
      </c>
      <c r="B5" s="1" t="s">
        <v>854</v>
      </c>
      <c r="C5" s="3" t="s">
        <v>1416</v>
      </c>
      <c r="D5" s="15" t="s">
        <v>543</v>
      </c>
      <c r="F5" s="4">
        <v>3</v>
      </c>
      <c r="G5" s="2" t="s">
        <v>133</v>
      </c>
    </row>
    <row r="6" spans="1:7" ht="63.75">
      <c r="A6" s="1">
        <v>1</v>
      </c>
      <c r="B6" s="1" t="s">
        <v>854</v>
      </c>
      <c r="C6" s="3" t="s">
        <v>1416</v>
      </c>
      <c r="D6" s="15" t="s">
        <v>544</v>
      </c>
      <c r="F6" s="4">
        <v>3</v>
      </c>
      <c r="G6" s="2" t="s">
        <v>132</v>
      </c>
    </row>
    <row r="7" spans="1:7" ht="63.75">
      <c r="B7" s="1" t="s">
        <v>854</v>
      </c>
      <c r="C7" s="3" t="s">
        <v>1416</v>
      </c>
      <c r="D7" s="15" t="s">
        <v>545</v>
      </c>
      <c r="F7" s="4">
        <v>3</v>
      </c>
    </row>
    <row r="8" spans="1:7" ht="89.25">
      <c r="A8" s="1">
        <v>1</v>
      </c>
      <c r="B8" s="1" t="s">
        <v>854</v>
      </c>
      <c r="C8" s="3" t="s">
        <v>1417</v>
      </c>
      <c r="D8" s="12" t="s">
        <v>899</v>
      </c>
      <c r="F8" s="4">
        <v>3</v>
      </c>
      <c r="G8" s="2" t="s">
        <v>134</v>
      </c>
    </row>
    <row r="9" spans="1:7" ht="89.25">
      <c r="B9" s="1" t="s">
        <v>854</v>
      </c>
      <c r="C9" s="3" t="s">
        <v>1417</v>
      </c>
      <c r="D9" s="12" t="s">
        <v>900</v>
      </c>
    </row>
    <row r="10" spans="1:7" ht="89.25">
      <c r="B10" s="1" t="s">
        <v>854</v>
      </c>
      <c r="C10" s="3" t="s">
        <v>1417</v>
      </c>
      <c r="D10" s="15" t="s">
        <v>901</v>
      </c>
    </row>
    <row r="11" spans="1:7" ht="25.5">
      <c r="B11" s="1" t="s">
        <v>855</v>
      </c>
      <c r="C11" s="3" t="s">
        <v>928</v>
      </c>
      <c r="D11" s="15" t="s">
        <v>929</v>
      </c>
    </row>
    <row r="12" spans="1:7" ht="25.5">
      <c r="B12" s="1" t="s">
        <v>855</v>
      </c>
      <c r="C12" s="3" t="s">
        <v>928</v>
      </c>
      <c r="D12" s="12" t="s">
        <v>930</v>
      </c>
    </row>
    <row r="13" spans="1:7" ht="41.25">
      <c r="A13" s="1">
        <v>1</v>
      </c>
      <c r="B13" s="1" t="s">
        <v>855</v>
      </c>
      <c r="C13" s="14" t="s">
        <v>958</v>
      </c>
      <c r="D13" s="15" t="s">
        <v>902</v>
      </c>
      <c r="F13" s="4">
        <v>3</v>
      </c>
      <c r="G13" s="2" t="s">
        <v>135</v>
      </c>
    </row>
    <row r="14" spans="1:7" ht="41.25">
      <c r="B14" s="1" t="s">
        <v>855</v>
      </c>
      <c r="C14" s="14" t="s">
        <v>958</v>
      </c>
      <c r="D14" s="15" t="s">
        <v>903</v>
      </c>
      <c r="F14" s="4">
        <v>2</v>
      </c>
    </row>
    <row r="15" spans="1:7" ht="41.25">
      <c r="B15" s="1" t="s">
        <v>855</v>
      </c>
      <c r="C15" s="14" t="s">
        <v>958</v>
      </c>
      <c r="D15" s="15" t="s">
        <v>904</v>
      </c>
      <c r="F15" s="4">
        <v>3</v>
      </c>
    </row>
    <row r="16" spans="1:7" ht="66.75">
      <c r="B16" s="1" t="s">
        <v>855</v>
      </c>
      <c r="C16" s="13" t="s">
        <v>550</v>
      </c>
      <c r="D16" s="12" t="s">
        <v>905</v>
      </c>
      <c r="F16" s="4">
        <v>3</v>
      </c>
    </row>
    <row r="17" spans="1:7" ht="66.75">
      <c r="B17" s="1" t="s">
        <v>855</v>
      </c>
      <c r="C17" s="13" t="s">
        <v>550</v>
      </c>
      <c r="D17" s="15" t="s">
        <v>906</v>
      </c>
      <c r="F17" s="4">
        <v>3</v>
      </c>
    </row>
    <row r="18" spans="1:7" ht="66.75">
      <c r="A18" s="1">
        <v>1</v>
      </c>
      <c r="B18" s="1" t="s">
        <v>855</v>
      </c>
      <c r="C18" s="13" t="s">
        <v>550</v>
      </c>
      <c r="D18" s="15" t="s">
        <v>907</v>
      </c>
      <c r="F18" s="4">
        <v>3</v>
      </c>
      <c r="G18" s="2" t="s">
        <v>117</v>
      </c>
    </row>
    <row r="19" spans="1:7" ht="66.75">
      <c r="A19" s="1">
        <v>4</v>
      </c>
      <c r="B19" s="1" t="s">
        <v>855</v>
      </c>
      <c r="C19" s="13" t="s">
        <v>550</v>
      </c>
      <c r="D19" s="15" t="s">
        <v>907</v>
      </c>
      <c r="F19" s="4">
        <v>3</v>
      </c>
      <c r="G19" s="2" t="s">
        <v>117</v>
      </c>
    </row>
    <row r="20" spans="1:7" ht="66.75">
      <c r="A20" s="1">
        <v>1</v>
      </c>
      <c r="B20" s="1" t="s">
        <v>855</v>
      </c>
      <c r="C20" s="13" t="s">
        <v>550</v>
      </c>
      <c r="D20" s="15" t="s">
        <v>908</v>
      </c>
      <c r="F20" s="4">
        <v>3</v>
      </c>
      <c r="G20" s="2" t="s">
        <v>136</v>
      </c>
    </row>
    <row r="21" spans="1:7" ht="95.25">
      <c r="B21" s="1" t="s">
        <v>855</v>
      </c>
      <c r="C21" s="13" t="s">
        <v>551</v>
      </c>
      <c r="D21" s="15" t="s">
        <v>909</v>
      </c>
      <c r="F21" s="4">
        <v>2</v>
      </c>
    </row>
    <row r="22" spans="1:7" ht="95.25">
      <c r="B22" s="1" t="s">
        <v>855</v>
      </c>
      <c r="C22" s="13" t="s">
        <v>551</v>
      </c>
      <c r="D22" s="15" t="s">
        <v>910</v>
      </c>
      <c r="F22" s="4">
        <v>2</v>
      </c>
    </row>
    <row r="23" spans="1:7" ht="89.25">
      <c r="B23" s="1" t="s">
        <v>855</v>
      </c>
      <c r="C23" s="3" t="s">
        <v>1418</v>
      </c>
      <c r="D23" s="15" t="s">
        <v>911</v>
      </c>
      <c r="F23" s="4">
        <v>3</v>
      </c>
    </row>
    <row r="24" spans="1:7" ht="89.25">
      <c r="A24" s="1">
        <v>1</v>
      </c>
      <c r="B24" s="1" t="s">
        <v>855</v>
      </c>
      <c r="C24" s="3" t="s">
        <v>1418</v>
      </c>
      <c r="D24" s="15" t="s">
        <v>912</v>
      </c>
      <c r="F24" s="4">
        <v>3</v>
      </c>
      <c r="G24" s="2" t="s">
        <v>137</v>
      </c>
    </row>
    <row r="25" spans="1:7" ht="89.25">
      <c r="A25" s="1">
        <v>1</v>
      </c>
      <c r="B25" s="1" t="s">
        <v>855</v>
      </c>
      <c r="C25" s="3" t="s">
        <v>1418</v>
      </c>
      <c r="D25" s="12" t="s">
        <v>913</v>
      </c>
      <c r="F25" s="4">
        <v>3</v>
      </c>
      <c r="G25" s="2" t="s">
        <v>138</v>
      </c>
    </row>
    <row r="26" spans="1:7" ht="89.25">
      <c r="A26" s="1">
        <v>1</v>
      </c>
      <c r="B26" s="1" t="s">
        <v>855</v>
      </c>
      <c r="C26" s="3" t="s">
        <v>1418</v>
      </c>
      <c r="D26" s="12" t="s">
        <v>914</v>
      </c>
      <c r="F26" s="4">
        <v>3</v>
      </c>
      <c r="G26" s="2" t="s">
        <v>139</v>
      </c>
    </row>
    <row r="27" spans="1:7" ht="89.25">
      <c r="A27" s="1">
        <v>1</v>
      </c>
      <c r="B27" s="1" t="s">
        <v>855</v>
      </c>
      <c r="C27" s="3" t="s">
        <v>1418</v>
      </c>
      <c r="D27" s="15" t="s">
        <v>915</v>
      </c>
      <c r="F27" s="4">
        <v>3</v>
      </c>
      <c r="G27" s="2" t="s">
        <v>138</v>
      </c>
    </row>
    <row r="28" spans="1:7" ht="89.25">
      <c r="B28" s="1" t="s">
        <v>855</v>
      </c>
      <c r="C28" s="3" t="s">
        <v>1418</v>
      </c>
      <c r="D28" s="15" t="s">
        <v>916</v>
      </c>
      <c r="F28" s="4">
        <v>3</v>
      </c>
    </row>
    <row r="29" spans="1:7" ht="89.25">
      <c r="B29" s="1" t="s">
        <v>855</v>
      </c>
      <c r="C29" s="3" t="s">
        <v>1418</v>
      </c>
      <c r="D29" s="12" t="s">
        <v>917</v>
      </c>
      <c r="F29" s="4">
        <v>3</v>
      </c>
    </row>
    <row r="30" spans="1:7" ht="89.25">
      <c r="B30" s="1" t="s">
        <v>855</v>
      </c>
      <c r="C30" s="3" t="s">
        <v>1418</v>
      </c>
      <c r="D30" s="15" t="s">
        <v>918</v>
      </c>
      <c r="F30" s="4">
        <v>3</v>
      </c>
    </row>
    <row r="31" spans="1:7" ht="76.5">
      <c r="A31" s="1">
        <v>4</v>
      </c>
      <c r="B31" s="1" t="s">
        <v>855</v>
      </c>
      <c r="C31" s="3" t="s">
        <v>1419</v>
      </c>
      <c r="D31" s="12" t="s">
        <v>1286</v>
      </c>
      <c r="F31" s="4">
        <v>3</v>
      </c>
      <c r="G31" s="2" t="s">
        <v>140</v>
      </c>
    </row>
    <row r="32" spans="1:7" ht="76.5">
      <c r="B32" s="1" t="s">
        <v>855</v>
      </c>
      <c r="C32" s="3" t="s">
        <v>1419</v>
      </c>
      <c r="D32" s="15" t="s">
        <v>919</v>
      </c>
      <c r="F32" s="4">
        <v>3</v>
      </c>
    </row>
    <row r="33" spans="1:7" ht="63.75">
      <c r="A33" s="1">
        <v>3</v>
      </c>
      <c r="B33" s="1" t="s">
        <v>855</v>
      </c>
      <c r="C33" s="3" t="s">
        <v>1420</v>
      </c>
      <c r="D33" s="15" t="s">
        <v>920</v>
      </c>
      <c r="F33" s="4">
        <v>2</v>
      </c>
      <c r="G33" s="2" t="s">
        <v>141</v>
      </c>
    </row>
    <row r="34" spans="1:7" ht="63.75">
      <c r="B34" s="1" t="s">
        <v>855</v>
      </c>
      <c r="C34" s="3" t="s">
        <v>1420</v>
      </c>
      <c r="D34" s="15" t="s">
        <v>921</v>
      </c>
      <c r="F34" s="4">
        <v>2</v>
      </c>
    </row>
    <row r="35" spans="1:7">
      <c r="B35" s="1" t="s">
        <v>855</v>
      </c>
      <c r="C35" s="3" t="s">
        <v>1421</v>
      </c>
    </row>
    <row r="36" spans="1:7" ht="140.25">
      <c r="A36" s="1">
        <v>1</v>
      </c>
      <c r="B36" s="1" t="s">
        <v>855</v>
      </c>
      <c r="C36" s="3" t="s">
        <v>931</v>
      </c>
      <c r="D36" s="15" t="s">
        <v>922</v>
      </c>
      <c r="F36" s="4">
        <v>1</v>
      </c>
      <c r="G36" s="2" t="s">
        <v>118</v>
      </c>
    </row>
    <row r="37" spans="1:7" ht="140.25">
      <c r="A37" s="1">
        <v>2</v>
      </c>
      <c r="B37" s="1" t="s">
        <v>855</v>
      </c>
      <c r="C37" s="3" t="s">
        <v>931</v>
      </c>
      <c r="D37" s="15" t="s">
        <v>922</v>
      </c>
      <c r="F37" s="4">
        <v>1</v>
      </c>
      <c r="G37" s="2" t="s">
        <v>118</v>
      </c>
    </row>
    <row r="38" spans="1:7" ht="76.5">
      <c r="A38" s="1">
        <v>3</v>
      </c>
      <c r="B38" s="1" t="s">
        <v>855</v>
      </c>
      <c r="C38" s="3" t="s">
        <v>931</v>
      </c>
      <c r="D38" s="12" t="s">
        <v>923</v>
      </c>
      <c r="F38" s="4">
        <v>2</v>
      </c>
      <c r="G38" s="2" t="s">
        <v>142</v>
      </c>
    </row>
    <row r="39" spans="1:7" ht="76.5">
      <c r="B39" s="1" t="s">
        <v>855</v>
      </c>
      <c r="C39" s="3" t="s">
        <v>931</v>
      </c>
      <c r="D39" s="12" t="s">
        <v>924</v>
      </c>
      <c r="F39" s="4">
        <v>2</v>
      </c>
    </row>
    <row r="40" spans="1:7" ht="76.5">
      <c r="B40" s="1" t="s">
        <v>855</v>
      </c>
      <c r="C40" s="3" t="s">
        <v>931</v>
      </c>
      <c r="D40" s="15" t="s">
        <v>925</v>
      </c>
      <c r="F40" s="4">
        <v>2</v>
      </c>
    </row>
    <row r="41" spans="1:7" ht="89.25">
      <c r="A41" s="1">
        <v>1</v>
      </c>
      <c r="B41" s="1" t="s">
        <v>855</v>
      </c>
      <c r="C41" s="3" t="s">
        <v>931</v>
      </c>
      <c r="D41" s="15" t="s">
        <v>926</v>
      </c>
      <c r="F41" s="4">
        <v>1</v>
      </c>
      <c r="G41" s="2" t="s">
        <v>119</v>
      </c>
    </row>
    <row r="42" spans="1:7" ht="89.25">
      <c r="A42" s="1">
        <v>2</v>
      </c>
      <c r="B42" s="1" t="s">
        <v>855</v>
      </c>
      <c r="C42" s="3" t="s">
        <v>931</v>
      </c>
      <c r="D42" s="15" t="s">
        <v>926</v>
      </c>
      <c r="F42" s="4">
        <v>1</v>
      </c>
      <c r="G42" s="2" t="s">
        <v>119</v>
      </c>
    </row>
    <row r="43" spans="1:7" ht="51">
      <c r="B43" s="1" t="s">
        <v>855</v>
      </c>
      <c r="C43" s="3" t="s">
        <v>932</v>
      </c>
      <c r="D43" s="15" t="s">
        <v>927</v>
      </c>
      <c r="F43" s="4">
        <v>1.5</v>
      </c>
    </row>
    <row r="44" spans="1:7" ht="89.25">
      <c r="A44" s="1">
        <v>1</v>
      </c>
      <c r="B44" s="1" t="s">
        <v>855</v>
      </c>
      <c r="C44" s="3" t="s">
        <v>932</v>
      </c>
      <c r="D44" s="15" t="s">
        <v>922</v>
      </c>
      <c r="F44" s="4">
        <v>1</v>
      </c>
      <c r="G44" s="2" t="s">
        <v>119</v>
      </c>
    </row>
    <row r="45" spans="1:7" ht="89.25">
      <c r="A45" s="1">
        <v>2</v>
      </c>
      <c r="B45" s="1" t="s">
        <v>855</v>
      </c>
      <c r="C45" s="3" t="s">
        <v>932</v>
      </c>
      <c r="D45" s="15" t="s">
        <v>922</v>
      </c>
      <c r="F45" s="4">
        <v>1</v>
      </c>
      <c r="G45" s="2" t="s">
        <v>119</v>
      </c>
    </row>
    <row r="46" spans="1:7" ht="51">
      <c r="A46" s="1">
        <v>3</v>
      </c>
      <c r="B46" s="1" t="s">
        <v>855</v>
      </c>
      <c r="C46" s="3" t="s">
        <v>932</v>
      </c>
      <c r="D46" s="12" t="s">
        <v>923</v>
      </c>
      <c r="F46" s="4">
        <v>2</v>
      </c>
      <c r="G46" s="2" t="s">
        <v>142</v>
      </c>
    </row>
    <row r="47" spans="1:7" ht="51">
      <c r="B47" s="1" t="s">
        <v>855</v>
      </c>
      <c r="C47" s="3" t="s">
        <v>932</v>
      </c>
      <c r="D47" s="12" t="s">
        <v>924</v>
      </c>
      <c r="F47" s="4">
        <v>2</v>
      </c>
    </row>
    <row r="48" spans="1:7" ht="51">
      <c r="B48" s="1" t="s">
        <v>855</v>
      </c>
      <c r="C48" s="3" t="s">
        <v>932</v>
      </c>
      <c r="D48" s="15" t="s">
        <v>925</v>
      </c>
      <c r="F48" s="4">
        <v>2</v>
      </c>
    </row>
    <row r="49" spans="1:7" ht="89.25">
      <c r="A49" s="1">
        <v>1</v>
      </c>
      <c r="B49" s="1" t="s">
        <v>855</v>
      </c>
      <c r="C49" s="3" t="s">
        <v>932</v>
      </c>
      <c r="D49" s="15" t="s">
        <v>926</v>
      </c>
      <c r="F49" s="4">
        <v>1</v>
      </c>
      <c r="G49" s="2" t="s">
        <v>119</v>
      </c>
    </row>
    <row r="50" spans="1:7" ht="89.25">
      <c r="A50" s="1">
        <v>2</v>
      </c>
      <c r="B50" s="1" t="s">
        <v>855</v>
      </c>
      <c r="C50" s="3" t="s">
        <v>932</v>
      </c>
      <c r="D50" s="15" t="s">
        <v>926</v>
      </c>
      <c r="F50" s="4">
        <v>1</v>
      </c>
      <c r="G50" s="2" t="s">
        <v>119</v>
      </c>
    </row>
    <row r="51" spans="1:7" ht="25.5">
      <c r="B51" s="1" t="s">
        <v>855</v>
      </c>
      <c r="C51" s="2" t="s">
        <v>714</v>
      </c>
      <c r="D51" s="8"/>
      <c r="F51" s="4">
        <v>2</v>
      </c>
    </row>
    <row r="52" spans="1:7" ht="51">
      <c r="A52" s="1">
        <v>3</v>
      </c>
      <c r="B52" s="1" t="s">
        <v>855</v>
      </c>
      <c r="C52" s="2" t="s">
        <v>715</v>
      </c>
      <c r="D52" s="15" t="s">
        <v>524</v>
      </c>
      <c r="F52" s="4">
        <v>2</v>
      </c>
      <c r="G52" s="2" t="s">
        <v>143</v>
      </c>
    </row>
    <row r="53" spans="1:7" ht="89.25">
      <c r="A53" s="1">
        <v>1</v>
      </c>
      <c r="C53" s="2" t="s">
        <v>715</v>
      </c>
      <c r="D53" s="15" t="s">
        <v>926</v>
      </c>
      <c r="F53" s="4">
        <v>1</v>
      </c>
      <c r="G53" s="2" t="s">
        <v>119</v>
      </c>
    </row>
    <row r="54" spans="1:7" ht="89.25">
      <c r="A54" s="1">
        <v>2</v>
      </c>
      <c r="C54" s="2" t="s">
        <v>715</v>
      </c>
      <c r="D54" s="15" t="s">
        <v>926</v>
      </c>
      <c r="F54" s="4">
        <v>1</v>
      </c>
      <c r="G54" s="2" t="s">
        <v>119</v>
      </c>
    </row>
    <row r="55" spans="1:7" ht="63.75">
      <c r="A55" s="1">
        <v>3</v>
      </c>
      <c r="B55" s="1" t="s">
        <v>855</v>
      </c>
      <c r="C55" s="3" t="s">
        <v>716</v>
      </c>
      <c r="D55" s="12" t="s">
        <v>525</v>
      </c>
      <c r="F55" s="4">
        <v>3</v>
      </c>
      <c r="G55" s="2" t="s">
        <v>144</v>
      </c>
    </row>
    <row r="56" spans="1:7" ht="63.75">
      <c r="A56" s="1">
        <v>3</v>
      </c>
      <c r="B56" s="1" t="s">
        <v>855</v>
      </c>
      <c r="C56" s="3" t="s">
        <v>716</v>
      </c>
      <c r="D56" s="15" t="s">
        <v>524</v>
      </c>
      <c r="F56" s="4">
        <v>2</v>
      </c>
      <c r="G56" s="2" t="s">
        <v>143</v>
      </c>
    </row>
    <row r="57" spans="1:7" ht="89.25">
      <c r="A57" s="1">
        <v>1</v>
      </c>
      <c r="B57" s="1" t="s">
        <v>855</v>
      </c>
      <c r="C57" s="3" t="s">
        <v>716</v>
      </c>
      <c r="D57" s="15" t="s">
        <v>926</v>
      </c>
      <c r="F57" s="4">
        <v>1</v>
      </c>
      <c r="G57" s="2" t="s">
        <v>120</v>
      </c>
    </row>
    <row r="58" spans="1:7" ht="89.25">
      <c r="A58" s="1">
        <v>2</v>
      </c>
      <c r="B58" s="1" t="s">
        <v>855</v>
      </c>
      <c r="C58" s="3" t="s">
        <v>716</v>
      </c>
      <c r="D58" s="15" t="s">
        <v>926</v>
      </c>
      <c r="F58" s="4">
        <v>1</v>
      </c>
      <c r="G58" s="2" t="s">
        <v>120</v>
      </c>
    </row>
    <row r="59" spans="1:7" ht="89.25">
      <c r="A59" s="1">
        <v>1</v>
      </c>
      <c r="B59" s="1" t="s">
        <v>855</v>
      </c>
      <c r="C59" s="3" t="s">
        <v>717</v>
      </c>
      <c r="D59" s="15" t="s">
        <v>926</v>
      </c>
      <c r="F59" s="4">
        <v>1</v>
      </c>
      <c r="G59" s="2" t="s">
        <v>120</v>
      </c>
    </row>
    <row r="60" spans="1:7" ht="89.25">
      <c r="A60" s="1">
        <v>2</v>
      </c>
      <c r="B60" s="1" t="s">
        <v>855</v>
      </c>
      <c r="C60" s="3" t="s">
        <v>717</v>
      </c>
      <c r="D60" s="15" t="s">
        <v>926</v>
      </c>
      <c r="F60" s="4">
        <v>1</v>
      </c>
      <c r="G60" s="2" t="s">
        <v>120</v>
      </c>
    </row>
    <row r="61" spans="1:7" ht="63.75">
      <c r="B61" s="1" t="s">
        <v>734</v>
      </c>
      <c r="C61" s="3" t="s">
        <v>718</v>
      </c>
      <c r="D61" s="15" t="s">
        <v>526</v>
      </c>
      <c r="F61" s="4">
        <v>3</v>
      </c>
    </row>
    <row r="62" spans="1:7" ht="63.75">
      <c r="B62" s="1" t="s">
        <v>734</v>
      </c>
      <c r="C62" s="3" t="s">
        <v>718</v>
      </c>
      <c r="D62" s="12" t="s">
        <v>527</v>
      </c>
      <c r="F62" s="4">
        <v>3</v>
      </c>
    </row>
    <row r="63" spans="1:7" ht="63.75">
      <c r="B63" s="1" t="s">
        <v>734</v>
      </c>
      <c r="C63" s="3" t="s">
        <v>718</v>
      </c>
      <c r="D63" s="12" t="s">
        <v>528</v>
      </c>
      <c r="F63" s="4">
        <v>3</v>
      </c>
    </row>
    <row r="64" spans="1:7" ht="76.5">
      <c r="A64" s="1">
        <v>2</v>
      </c>
      <c r="B64" s="1" t="s">
        <v>734</v>
      </c>
      <c r="C64" s="3" t="s">
        <v>719</v>
      </c>
      <c r="D64" s="12" t="s">
        <v>529</v>
      </c>
      <c r="F64" s="4">
        <v>3</v>
      </c>
      <c r="G64" s="2" t="s">
        <v>121</v>
      </c>
    </row>
    <row r="65" spans="1:7" ht="76.5">
      <c r="A65" s="1">
        <v>3</v>
      </c>
      <c r="B65" s="1" t="s">
        <v>734</v>
      </c>
      <c r="C65" s="3" t="s">
        <v>719</v>
      </c>
      <c r="D65" s="12" t="s">
        <v>529</v>
      </c>
      <c r="F65" s="4">
        <v>3</v>
      </c>
      <c r="G65" s="2" t="s">
        <v>121</v>
      </c>
    </row>
    <row r="66" spans="1:7" ht="76.5">
      <c r="B66" s="1" t="s">
        <v>734</v>
      </c>
      <c r="C66" s="3" t="s">
        <v>719</v>
      </c>
      <c r="D66" s="15" t="s">
        <v>1287</v>
      </c>
      <c r="F66" s="4">
        <v>2</v>
      </c>
    </row>
    <row r="67" spans="1:7" ht="79.5">
      <c r="A67" s="1">
        <v>2</v>
      </c>
      <c r="B67" s="1" t="s">
        <v>734</v>
      </c>
      <c r="C67" s="12" t="s">
        <v>522</v>
      </c>
      <c r="D67" s="12" t="s">
        <v>530</v>
      </c>
      <c r="F67" s="4">
        <v>3</v>
      </c>
      <c r="G67" s="2" t="s">
        <v>122</v>
      </c>
    </row>
    <row r="68" spans="1:7" ht="79.5">
      <c r="A68" s="1">
        <v>3</v>
      </c>
      <c r="B68" s="1" t="s">
        <v>734</v>
      </c>
      <c r="C68" s="12" t="s">
        <v>522</v>
      </c>
      <c r="D68" s="12" t="s">
        <v>530</v>
      </c>
      <c r="F68" s="4">
        <v>3</v>
      </c>
      <c r="G68" s="2" t="s">
        <v>122</v>
      </c>
    </row>
    <row r="69" spans="1:7" ht="79.5">
      <c r="B69" s="1" t="s">
        <v>734</v>
      </c>
      <c r="C69" s="12" t="s">
        <v>522</v>
      </c>
      <c r="D69" s="15" t="s">
        <v>531</v>
      </c>
      <c r="F69" s="4">
        <v>3</v>
      </c>
    </row>
    <row r="70" spans="1:7" ht="79.5">
      <c r="B70" s="1" t="s">
        <v>734</v>
      </c>
      <c r="C70" s="12" t="s">
        <v>522</v>
      </c>
      <c r="D70" s="15" t="s">
        <v>532</v>
      </c>
      <c r="F70" s="4">
        <v>3</v>
      </c>
    </row>
    <row r="71" spans="1:7" ht="89.25">
      <c r="A71" s="1">
        <v>3</v>
      </c>
      <c r="B71" s="1" t="s">
        <v>734</v>
      </c>
      <c r="C71" s="3" t="s">
        <v>720</v>
      </c>
      <c r="D71" s="15" t="s">
        <v>533</v>
      </c>
      <c r="F71" s="4">
        <v>3</v>
      </c>
      <c r="G71" s="2" t="s">
        <v>145</v>
      </c>
    </row>
    <row r="72" spans="1:7" ht="89.25">
      <c r="A72" s="1">
        <v>3</v>
      </c>
      <c r="B72" s="1" t="s">
        <v>734</v>
      </c>
      <c r="C72" s="3" t="s">
        <v>720</v>
      </c>
      <c r="D72" s="12" t="s">
        <v>534</v>
      </c>
      <c r="F72" s="4">
        <v>3</v>
      </c>
      <c r="G72" s="2" t="s">
        <v>146</v>
      </c>
    </row>
    <row r="73" spans="1:7" ht="89.25">
      <c r="A73" s="1">
        <v>3</v>
      </c>
      <c r="B73" s="1" t="s">
        <v>734</v>
      </c>
      <c r="C73" s="3" t="s">
        <v>720</v>
      </c>
      <c r="D73" s="15" t="s">
        <v>535</v>
      </c>
      <c r="F73" s="4">
        <v>2</v>
      </c>
      <c r="G73" s="2" t="s">
        <v>147</v>
      </c>
    </row>
    <row r="74" spans="1:7" ht="89.25">
      <c r="B74" s="1" t="s">
        <v>734</v>
      </c>
      <c r="C74" s="3" t="s">
        <v>720</v>
      </c>
      <c r="D74" s="15" t="s">
        <v>536</v>
      </c>
      <c r="F74" s="4">
        <v>3</v>
      </c>
    </row>
    <row r="75" spans="1:7" ht="63.75">
      <c r="A75" s="1">
        <v>2</v>
      </c>
      <c r="B75" s="1" t="s">
        <v>734</v>
      </c>
      <c r="C75" s="3" t="s">
        <v>721</v>
      </c>
      <c r="D75" s="15" t="s">
        <v>537</v>
      </c>
      <c r="F75" s="4">
        <v>2</v>
      </c>
      <c r="G75" s="2" t="s">
        <v>123</v>
      </c>
    </row>
    <row r="76" spans="1:7" ht="63.75">
      <c r="A76" s="1">
        <v>3</v>
      </c>
      <c r="B76" s="1" t="s">
        <v>734</v>
      </c>
      <c r="C76" s="3" t="s">
        <v>721</v>
      </c>
      <c r="D76" s="15" t="s">
        <v>537</v>
      </c>
      <c r="F76" s="4">
        <v>2</v>
      </c>
      <c r="G76" s="2" t="s">
        <v>123</v>
      </c>
    </row>
    <row r="77" spans="1:7" ht="63.75">
      <c r="A77" s="1">
        <v>3</v>
      </c>
      <c r="B77" s="1" t="s">
        <v>734</v>
      </c>
      <c r="C77" s="3" t="s">
        <v>721</v>
      </c>
      <c r="D77" s="15" t="s">
        <v>538</v>
      </c>
      <c r="F77" s="4">
        <v>3</v>
      </c>
      <c r="G77" s="2" t="s">
        <v>148</v>
      </c>
    </row>
    <row r="78" spans="1:7" ht="63.75">
      <c r="A78" s="1">
        <v>3</v>
      </c>
      <c r="B78" s="1" t="s">
        <v>734</v>
      </c>
      <c r="C78" s="3" t="s">
        <v>721</v>
      </c>
      <c r="D78" s="15" t="s">
        <v>7</v>
      </c>
      <c r="F78" s="4">
        <v>2</v>
      </c>
      <c r="G78" s="2" t="s">
        <v>149</v>
      </c>
    </row>
    <row r="79" spans="1:7" ht="63.75">
      <c r="A79" s="1">
        <v>3</v>
      </c>
      <c r="B79" s="1" t="s">
        <v>734</v>
      </c>
      <c r="C79" s="3" t="s">
        <v>721</v>
      </c>
      <c r="D79" s="15" t="s">
        <v>539</v>
      </c>
      <c r="F79" s="4">
        <v>3</v>
      </c>
      <c r="G79" s="2" t="s">
        <v>150</v>
      </c>
    </row>
    <row r="80" spans="1:7" ht="63.75">
      <c r="A80" s="1">
        <v>2</v>
      </c>
      <c r="B80" s="1" t="s">
        <v>734</v>
      </c>
      <c r="C80" s="3" t="s">
        <v>721</v>
      </c>
      <c r="D80" s="15" t="s">
        <v>5</v>
      </c>
      <c r="F80" s="4">
        <v>3</v>
      </c>
      <c r="G80" s="2" t="s">
        <v>124</v>
      </c>
    </row>
    <row r="81" spans="1:7" ht="63.75">
      <c r="A81" s="1">
        <v>3</v>
      </c>
      <c r="B81" s="1" t="s">
        <v>734</v>
      </c>
      <c r="C81" s="3" t="s">
        <v>721</v>
      </c>
      <c r="D81" s="15" t="s">
        <v>5</v>
      </c>
      <c r="F81" s="4">
        <v>3</v>
      </c>
      <c r="G81" s="2" t="s">
        <v>124</v>
      </c>
    </row>
    <row r="82" spans="1:7" ht="63.75">
      <c r="A82" s="1">
        <v>2</v>
      </c>
      <c r="B82" s="1" t="s">
        <v>734</v>
      </c>
      <c r="C82" s="3" t="s">
        <v>721</v>
      </c>
      <c r="D82" s="15" t="s">
        <v>6</v>
      </c>
      <c r="F82" s="4">
        <v>3</v>
      </c>
      <c r="G82" s="2" t="s">
        <v>123</v>
      </c>
    </row>
    <row r="83" spans="1:7" ht="63.75">
      <c r="A83" s="1">
        <v>3</v>
      </c>
      <c r="B83" s="1" t="s">
        <v>734</v>
      </c>
      <c r="C83" s="3" t="s">
        <v>721</v>
      </c>
      <c r="D83" s="15" t="s">
        <v>6</v>
      </c>
      <c r="F83" s="4">
        <v>3</v>
      </c>
      <c r="G83" s="2" t="s">
        <v>123</v>
      </c>
    </row>
    <row r="84" spans="1:7" ht="63.75">
      <c r="B84" s="1" t="s">
        <v>734</v>
      </c>
      <c r="C84" s="3" t="s">
        <v>721</v>
      </c>
      <c r="D84" s="15" t="s">
        <v>8</v>
      </c>
      <c r="F84" s="4">
        <v>1</v>
      </c>
    </row>
    <row r="85" spans="1:7" ht="76.5">
      <c r="A85" s="1">
        <v>3</v>
      </c>
      <c r="B85" s="1" t="s">
        <v>940</v>
      </c>
      <c r="C85" s="3" t="s">
        <v>523</v>
      </c>
      <c r="D85" s="15" t="s">
        <v>9</v>
      </c>
      <c r="F85" s="4">
        <v>3</v>
      </c>
      <c r="G85" s="2" t="s">
        <v>125</v>
      </c>
    </row>
    <row r="86" spans="1:7" ht="76.5">
      <c r="A86" s="1">
        <v>4</v>
      </c>
      <c r="B86" s="1" t="s">
        <v>940</v>
      </c>
      <c r="C86" s="3" t="s">
        <v>523</v>
      </c>
      <c r="D86" s="15" t="s">
        <v>9</v>
      </c>
      <c r="F86" s="4">
        <v>3</v>
      </c>
      <c r="G86" s="2" t="s">
        <v>125</v>
      </c>
    </row>
    <row r="87" spans="1:7" ht="76.5">
      <c r="A87" s="1">
        <v>3</v>
      </c>
      <c r="B87" s="1" t="s">
        <v>940</v>
      </c>
      <c r="C87" s="3" t="s">
        <v>523</v>
      </c>
      <c r="D87" s="15" t="s">
        <v>10</v>
      </c>
      <c r="F87" s="4">
        <v>3</v>
      </c>
      <c r="G87" s="2" t="s">
        <v>126</v>
      </c>
    </row>
    <row r="88" spans="1:7" ht="76.5">
      <c r="A88" s="1">
        <v>4</v>
      </c>
      <c r="B88" s="1" t="s">
        <v>940</v>
      </c>
      <c r="C88" s="3" t="s">
        <v>523</v>
      </c>
      <c r="D88" s="15" t="s">
        <v>10</v>
      </c>
      <c r="F88" s="4">
        <v>3</v>
      </c>
      <c r="G88" s="2" t="s">
        <v>126</v>
      </c>
    </row>
    <row r="89" spans="1:7" ht="76.5">
      <c r="B89" s="1" t="s">
        <v>940</v>
      </c>
      <c r="C89" s="3" t="s">
        <v>523</v>
      </c>
      <c r="D89" s="15" t="s">
        <v>11</v>
      </c>
      <c r="F89" s="4">
        <v>3</v>
      </c>
    </row>
    <row r="90" spans="1:7" ht="76.5">
      <c r="B90" s="1" t="s">
        <v>940</v>
      </c>
      <c r="C90" s="3" t="s">
        <v>523</v>
      </c>
      <c r="D90" s="15" t="s">
        <v>12</v>
      </c>
      <c r="F90" s="4">
        <v>3</v>
      </c>
    </row>
    <row r="91" spans="1:7" ht="63.75">
      <c r="B91" s="1" t="s">
        <v>940</v>
      </c>
      <c r="C91" s="3" t="s">
        <v>722</v>
      </c>
      <c r="D91" s="12" t="s">
        <v>13</v>
      </c>
      <c r="F91" s="4">
        <v>2</v>
      </c>
    </row>
    <row r="92" spans="1:7" ht="63.75">
      <c r="A92" s="1">
        <v>3</v>
      </c>
      <c r="B92" s="1" t="s">
        <v>940</v>
      </c>
      <c r="C92" s="3" t="s">
        <v>722</v>
      </c>
      <c r="D92" s="15" t="s">
        <v>9</v>
      </c>
      <c r="F92" s="4">
        <v>3</v>
      </c>
      <c r="G92" s="2" t="s">
        <v>125</v>
      </c>
    </row>
    <row r="93" spans="1:7" ht="63.75">
      <c r="A93" s="1">
        <v>4</v>
      </c>
      <c r="B93" s="1" t="s">
        <v>940</v>
      </c>
      <c r="C93" s="3" t="s">
        <v>722</v>
      </c>
      <c r="D93" s="15" t="s">
        <v>9</v>
      </c>
      <c r="F93" s="4">
        <v>3</v>
      </c>
      <c r="G93" s="2" t="s">
        <v>125</v>
      </c>
    </row>
    <row r="94" spans="1:7" ht="63.75">
      <c r="A94" s="1">
        <v>3</v>
      </c>
      <c r="B94" s="1" t="s">
        <v>940</v>
      </c>
      <c r="C94" s="3" t="s">
        <v>722</v>
      </c>
      <c r="D94" s="15" t="s">
        <v>10</v>
      </c>
      <c r="F94" s="4">
        <v>3</v>
      </c>
      <c r="G94" s="2" t="s">
        <v>126</v>
      </c>
    </row>
    <row r="95" spans="1:7" ht="63.75">
      <c r="A95" s="1">
        <v>4</v>
      </c>
      <c r="B95" s="1" t="s">
        <v>940</v>
      </c>
      <c r="C95" s="3" t="s">
        <v>722</v>
      </c>
      <c r="D95" s="15" t="s">
        <v>10</v>
      </c>
      <c r="F95" s="4">
        <v>3</v>
      </c>
      <c r="G95" s="2" t="s">
        <v>126</v>
      </c>
    </row>
    <row r="96" spans="1:7" ht="63.75">
      <c r="B96" s="1" t="s">
        <v>940</v>
      </c>
      <c r="C96" s="3" t="s">
        <v>722</v>
      </c>
      <c r="D96" s="15" t="s">
        <v>11</v>
      </c>
      <c r="F96" s="4">
        <v>3</v>
      </c>
    </row>
    <row r="97" spans="1:7" ht="63.75">
      <c r="B97" s="1" t="s">
        <v>940</v>
      </c>
      <c r="C97" s="3" t="s">
        <v>722</v>
      </c>
      <c r="D97" s="15" t="s">
        <v>12</v>
      </c>
      <c r="F97" s="4">
        <v>3</v>
      </c>
    </row>
    <row r="98" spans="1:7" ht="38.25">
      <c r="B98" s="1" t="s">
        <v>940</v>
      </c>
      <c r="C98" s="3" t="s">
        <v>723</v>
      </c>
      <c r="D98" s="15" t="s">
        <v>839</v>
      </c>
      <c r="F98" s="4">
        <v>3</v>
      </c>
    </row>
    <row r="99" spans="1:7" ht="38.25">
      <c r="B99" s="1" t="s">
        <v>940</v>
      </c>
      <c r="C99" s="3" t="s">
        <v>723</v>
      </c>
      <c r="D99" s="15" t="s">
        <v>840</v>
      </c>
      <c r="F99" s="4">
        <v>3</v>
      </c>
    </row>
    <row r="100" spans="1:7" ht="38.25">
      <c r="B100" s="1" t="s">
        <v>940</v>
      </c>
      <c r="C100" s="3" t="s">
        <v>723</v>
      </c>
      <c r="D100" s="15" t="s">
        <v>841</v>
      </c>
      <c r="F100" s="4">
        <v>3</v>
      </c>
    </row>
    <row r="101" spans="1:7" ht="38.25">
      <c r="B101" s="1" t="s">
        <v>940</v>
      </c>
      <c r="C101" s="3" t="s">
        <v>723</v>
      </c>
      <c r="D101" s="15" t="s">
        <v>842</v>
      </c>
      <c r="F101" s="4">
        <v>3</v>
      </c>
    </row>
    <row r="102" spans="1:7" ht="38.25">
      <c r="B102" s="1" t="s">
        <v>940</v>
      </c>
      <c r="C102" s="3" t="s">
        <v>723</v>
      </c>
      <c r="D102" s="15" t="s">
        <v>843</v>
      </c>
      <c r="F102" s="4">
        <v>2</v>
      </c>
    </row>
    <row r="103" spans="1:7" ht="63.75">
      <c r="B103" s="1" t="s">
        <v>940</v>
      </c>
      <c r="C103" s="3" t="s">
        <v>724</v>
      </c>
      <c r="D103" s="15" t="s">
        <v>844</v>
      </c>
      <c r="F103" s="4">
        <v>2</v>
      </c>
    </row>
    <row r="104" spans="1:7" ht="89.25">
      <c r="A104" s="1">
        <v>3</v>
      </c>
      <c r="B104" s="1" t="s">
        <v>940</v>
      </c>
      <c r="C104" s="3" t="s">
        <v>725</v>
      </c>
      <c r="D104" s="12" t="s">
        <v>1279</v>
      </c>
      <c r="F104" s="4">
        <v>3</v>
      </c>
      <c r="G104" s="2" t="s">
        <v>127</v>
      </c>
    </row>
    <row r="105" spans="1:7" ht="89.25">
      <c r="A105" s="1">
        <v>4</v>
      </c>
      <c r="B105" s="1" t="s">
        <v>940</v>
      </c>
      <c r="C105" s="3" t="s">
        <v>725</v>
      </c>
      <c r="D105" s="12" t="s">
        <v>1279</v>
      </c>
      <c r="F105" s="4">
        <v>3</v>
      </c>
      <c r="G105" s="2" t="s">
        <v>127</v>
      </c>
    </row>
    <row r="106" spans="1:7" ht="89.25">
      <c r="B106" s="1" t="s">
        <v>940</v>
      </c>
      <c r="C106" s="3" t="s">
        <v>725</v>
      </c>
      <c r="D106" s="12" t="s">
        <v>1280</v>
      </c>
      <c r="F106" s="4">
        <v>3</v>
      </c>
    </row>
    <row r="107" spans="1:7" ht="25.5">
      <c r="A107" s="1">
        <v>4</v>
      </c>
      <c r="B107" s="1" t="s">
        <v>940</v>
      </c>
      <c r="C107" s="2" t="s">
        <v>726</v>
      </c>
      <c r="D107" s="15" t="s">
        <v>1281</v>
      </c>
      <c r="F107" s="4">
        <v>3</v>
      </c>
      <c r="G107" s="2" t="s">
        <v>151</v>
      </c>
    </row>
    <row r="108" spans="1:7" ht="25.5">
      <c r="A108" s="1">
        <v>4</v>
      </c>
      <c r="B108" s="1" t="s">
        <v>940</v>
      </c>
      <c r="C108" s="2" t="s">
        <v>726</v>
      </c>
      <c r="D108" s="15" t="s">
        <v>1282</v>
      </c>
      <c r="F108" s="4">
        <v>3</v>
      </c>
      <c r="G108" s="2" t="s">
        <v>140</v>
      </c>
    </row>
    <row r="109" spans="1:7" ht="25.5">
      <c r="A109" s="1">
        <v>4</v>
      </c>
      <c r="B109" s="1" t="s">
        <v>940</v>
      </c>
      <c r="C109" s="2" t="s">
        <v>726</v>
      </c>
      <c r="D109" s="15" t="s">
        <v>1283</v>
      </c>
      <c r="F109" s="4">
        <v>3</v>
      </c>
      <c r="G109" s="2" t="s">
        <v>152</v>
      </c>
    </row>
    <row r="110" spans="1:7" ht="38.25">
      <c r="A110" s="1">
        <v>4</v>
      </c>
      <c r="B110" s="1" t="s">
        <v>940</v>
      </c>
      <c r="C110" s="3" t="s">
        <v>727</v>
      </c>
      <c r="D110" s="12" t="s">
        <v>1284</v>
      </c>
      <c r="F110" s="4">
        <v>3</v>
      </c>
      <c r="G110" s="2" t="s">
        <v>151</v>
      </c>
    </row>
    <row r="111" spans="1:7" ht="38.25">
      <c r="B111" s="1" t="s">
        <v>940</v>
      </c>
      <c r="C111" s="3" t="s">
        <v>727</v>
      </c>
      <c r="D111" s="15" t="s">
        <v>1288</v>
      </c>
    </row>
    <row r="112" spans="1:7" ht="51">
      <c r="B112" s="1" t="s">
        <v>940</v>
      </c>
      <c r="C112" s="3" t="s">
        <v>727</v>
      </c>
      <c r="D112" s="15" t="s">
        <v>1285</v>
      </c>
      <c r="F112" s="4">
        <v>3</v>
      </c>
    </row>
    <row r="113" spans="1:7" ht="25.5">
      <c r="A113" s="1">
        <v>4</v>
      </c>
      <c r="B113" s="1" t="s">
        <v>940</v>
      </c>
      <c r="C113" s="3" t="s">
        <v>728</v>
      </c>
      <c r="D113" s="12" t="s">
        <v>1289</v>
      </c>
      <c r="F113" s="4">
        <v>3</v>
      </c>
      <c r="G113" s="2" t="s">
        <v>153</v>
      </c>
    </row>
    <row r="114" spans="1:7" ht="38.25">
      <c r="A114" s="1">
        <v>1</v>
      </c>
      <c r="B114" s="1" t="s">
        <v>940</v>
      </c>
      <c r="C114" s="3" t="s">
        <v>728</v>
      </c>
      <c r="D114" s="15" t="s">
        <v>1282</v>
      </c>
      <c r="F114" s="4">
        <v>3</v>
      </c>
      <c r="G114" s="2" t="s">
        <v>149</v>
      </c>
    </row>
    <row r="115" spans="1:7" ht="38.25">
      <c r="B115" s="1" t="s">
        <v>940</v>
      </c>
      <c r="C115" s="3" t="s">
        <v>729</v>
      </c>
      <c r="D115" s="15" t="s">
        <v>1290</v>
      </c>
      <c r="F115" s="4">
        <v>3</v>
      </c>
    </row>
    <row r="116" spans="1:7" ht="63.75">
      <c r="A116" s="1">
        <v>5</v>
      </c>
      <c r="B116" s="1" t="s">
        <v>1413</v>
      </c>
      <c r="C116" s="3" t="s">
        <v>730</v>
      </c>
      <c r="D116" s="15" t="s">
        <v>1291</v>
      </c>
      <c r="F116" s="4">
        <v>3</v>
      </c>
      <c r="G116" s="2" t="s">
        <v>154</v>
      </c>
    </row>
    <row r="117" spans="1:7" ht="63.75">
      <c r="B117" s="1" t="s">
        <v>1413</v>
      </c>
      <c r="C117" s="3" t="s">
        <v>730</v>
      </c>
      <c r="D117" s="15" t="s">
        <v>1292</v>
      </c>
      <c r="F117" s="4">
        <v>2</v>
      </c>
    </row>
    <row r="118" spans="1:7" ht="63.75">
      <c r="A118" s="1">
        <v>5</v>
      </c>
      <c r="B118" s="1" t="s">
        <v>1413</v>
      </c>
      <c r="C118" s="3" t="s">
        <v>730</v>
      </c>
      <c r="D118" s="12" t="s">
        <v>1293</v>
      </c>
      <c r="F118" s="4">
        <v>1</v>
      </c>
      <c r="G118" s="2" t="s">
        <v>155</v>
      </c>
    </row>
    <row r="119" spans="1:7" ht="63.75">
      <c r="A119" s="1">
        <v>5</v>
      </c>
      <c r="B119" s="1" t="s">
        <v>1413</v>
      </c>
      <c r="C119" s="3" t="s">
        <v>730</v>
      </c>
      <c r="D119" s="15" t="s">
        <v>1294</v>
      </c>
      <c r="F119" s="4">
        <v>2</v>
      </c>
      <c r="G119" s="2" t="s">
        <v>156</v>
      </c>
    </row>
    <row r="120" spans="1:7" ht="63.75">
      <c r="A120" s="1">
        <v>5</v>
      </c>
      <c r="B120" s="1" t="s">
        <v>1413</v>
      </c>
      <c r="C120" s="3" t="s">
        <v>730</v>
      </c>
      <c r="D120" s="15" t="s">
        <v>1295</v>
      </c>
      <c r="F120" s="4">
        <v>2</v>
      </c>
      <c r="G120" s="2" t="s">
        <v>157</v>
      </c>
    </row>
    <row r="121" spans="1:7" ht="63.75">
      <c r="A121" s="1">
        <v>5</v>
      </c>
      <c r="B121" s="1" t="s">
        <v>1413</v>
      </c>
      <c r="C121" s="3" t="s">
        <v>731</v>
      </c>
      <c r="D121" s="12" t="s">
        <v>507</v>
      </c>
      <c r="F121" s="4">
        <v>3</v>
      </c>
      <c r="G121" s="2" t="s">
        <v>158</v>
      </c>
    </row>
    <row r="122" spans="1:7" ht="76.5">
      <c r="A122" s="1">
        <v>1</v>
      </c>
      <c r="B122" s="1" t="s">
        <v>1413</v>
      </c>
      <c r="C122" s="3" t="s">
        <v>732</v>
      </c>
      <c r="D122" s="15" t="s">
        <v>1296</v>
      </c>
      <c r="F122" s="4">
        <v>3</v>
      </c>
      <c r="G122" s="2" t="s">
        <v>159</v>
      </c>
    </row>
    <row r="123" spans="1:7" ht="153">
      <c r="A123" s="1">
        <v>3</v>
      </c>
      <c r="B123" s="1" t="s">
        <v>1413</v>
      </c>
      <c r="C123" s="3" t="s">
        <v>733</v>
      </c>
      <c r="D123" s="12" t="s">
        <v>1297</v>
      </c>
      <c r="F123" s="4">
        <v>3</v>
      </c>
      <c r="G123" s="2" t="s">
        <v>160</v>
      </c>
    </row>
    <row r="124" spans="1:7" ht="153">
      <c r="B124" s="1" t="s">
        <v>1413</v>
      </c>
      <c r="C124" s="3" t="s">
        <v>733</v>
      </c>
      <c r="D124" s="15" t="s">
        <v>1298</v>
      </c>
      <c r="F124" s="4">
        <v>2</v>
      </c>
    </row>
    <row r="125" spans="1:7" ht="153">
      <c r="A125" s="1">
        <v>5</v>
      </c>
      <c r="B125" s="1" t="s">
        <v>1413</v>
      </c>
      <c r="C125" s="3" t="s">
        <v>733</v>
      </c>
      <c r="D125" s="15" t="s">
        <v>161</v>
      </c>
      <c r="F125" s="4">
        <v>3</v>
      </c>
      <c r="G125" s="2" t="s">
        <v>162</v>
      </c>
    </row>
    <row r="126" spans="1:7" ht="153">
      <c r="A126" s="1">
        <v>5</v>
      </c>
      <c r="B126" s="1" t="s">
        <v>1413</v>
      </c>
      <c r="C126" s="3" t="s">
        <v>733</v>
      </c>
      <c r="D126" s="15" t="s">
        <v>1299</v>
      </c>
      <c r="F126" s="4">
        <v>3</v>
      </c>
      <c r="G126" s="2" t="s">
        <v>163</v>
      </c>
    </row>
    <row r="128" spans="1:7" ht="25.5">
      <c r="B128" s="1" t="s">
        <v>1300</v>
      </c>
      <c r="C128" s="3"/>
      <c r="D128" s="12" t="s">
        <v>1301</v>
      </c>
      <c r="F128" s="4">
        <v>3</v>
      </c>
    </row>
    <row r="129" spans="1:7" ht="25.5">
      <c r="A129" s="1">
        <v>5</v>
      </c>
      <c r="B129" s="1" t="s">
        <v>1300</v>
      </c>
      <c r="D129" s="15" t="s">
        <v>1302</v>
      </c>
      <c r="F129" s="4">
        <v>3</v>
      </c>
      <c r="G129" s="2" t="s">
        <v>128</v>
      </c>
    </row>
    <row r="130" spans="1:7" ht="25.5">
      <c r="A130" s="1">
        <v>1</v>
      </c>
      <c r="B130" s="1" t="s">
        <v>1300</v>
      </c>
      <c r="C130" s="3"/>
      <c r="D130" s="15" t="s">
        <v>1303</v>
      </c>
      <c r="F130" s="4">
        <v>3</v>
      </c>
      <c r="G130" s="2" t="s">
        <v>129</v>
      </c>
    </row>
    <row r="131" spans="1:7" ht="25.5">
      <c r="A131" s="1">
        <v>2</v>
      </c>
      <c r="B131" s="1" t="s">
        <v>1300</v>
      </c>
      <c r="C131" s="3"/>
      <c r="D131" s="15" t="s">
        <v>1303</v>
      </c>
      <c r="F131" s="4">
        <v>3</v>
      </c>
      <c r="G131" s="2" t="s">
        <v>129</v>
      </c>
    </row>
    <row r="132" spans="1:7" ht="25.5">
      <c r="A132" s="1">
        <v>3</v>
      </c>
      <c r="B132" s="1" t="s">
        <v>1300</v>
      </c>
      <c r="C132" s="3"/>
      <c r="D132" s="15" t="s">
        <v>1303</v>
      </c>
      <c r="F132" s="4">
        <v>3</v>
      </c>
      <c r="G132" s="2" t="s">
        <v>129</v>
      </c>
    </row>
    <row r="133" spans="1:7" ht="25.5">
      <c r="A133" s="1">
        <v>4</v>
      </c>
      <c r="B133" s="1" t="s">
        <v>1300</v>
      </c>
      <c r="C133" s="3"/>
      <c r="D133" s="15" t="s">
        <v>1303</v>
      </c>
      <c r="F133" s="4">
        <v>3</v>
      </c>
      <c r="G133" s="2" t="s">
        <v>129</v>
      </c>
    </row>
    <row r="134" spans="1:7" ht="25.5">
      <c r="A134" s="1">
        <v>5</v>
      </c>
      <c r="B134" s="1" t="s">
        <v>1300</v>
      </c>
      <c r="C134" s="3"/>
      <c r="D134" s="15" t="s">
        <v>1303</v>
      </c>
      <c r="F134" s="4">
        <v>3</v>
      </c>
      <c r="G134" s="2" t="s">
        <v>129</v>
      </c>
    </row>
    <row r="135" spans="1:7" ht="25.5">
      <c r="A135" s="1">
        <v>6</v>
      </c>
      <c r="B135" s="1" t="s">
        <v>1300</v>
      </c>
      <c r="C135" s="3"/>
      <c r="D135" s="15" t="s">
        <v>1303</v>
      </c>
      <c r="F135" s="4">
        <v>3</v>
      </c>
      <c r="G135" s="2" t="s">
        <v>129</v>
      </c>
    </row>
    <row r="136" spans="1:7" ht="114.75">
      <c r="A136" s="1">
        <v>2</v>
      </c>
      <c r="B136" s="1" t="s">
        <v>1300</v>
      </c>
      <c r="C136" s="3"/>
      <c r="D136" s="15" t="s">
        <v>1304</v>
      </c>
      <c r="F136" s="4">
        <v>3</v>
      </c>
      <c r="G136" s="2" t="s">
        <v>131</v>
      </c>
    </row>
    <row r="137" spans="1:7" ht="114.75">
      <c r="A137" s="1">
        <v>3</v>
      </c>
      <c r="B137" s="1" t="s">
        <v>1300</v>
      </c>
      <c r="C137" s="3"/>
      <c r="D137" s="15" t="s">
        <v>1304</v>
      </c>
      <c r="F137" s="4">
        <v>3</v>
      </c>
      <c r="G137" s="2" t="s">
        <v>130</v>
      </c>
    </row>
    <row r="140" spans="1:7">
      <c r="C140" s="3"/>
    </row>
    <row r="141" spans="1:7">
      <c r="C141" s="3"/>
    </row>
    <row r="143" spans="1:7">
      <c r="C143" s="3"/>
    </row>
    <row r="154" spans="3:3">
      <c r="C154" s="3"/>
    </row>
    <row r="155" spans="3:3">
      <c r="C155" s="3"/>
    </row>
    <row r="156" spans="3:3">
      <c r="C156" s="3"/>
    </row>
    <row r="157" spans="3:3">
      <c r="C157" s="3"/>
    </row>
    <row r="158" spans="3:3">
      <c r="C158" s="3"/>
    </row>
    <row r="159" spans="3:3">
      <c r="C159" s="3"/>
    </row>
    <row r="160" spans="3:3">
      <c r="C160" s="3"/>
    </row>
    <row r="165" spans="3:3">
      <c r="C165" s="3"/>
    </row>
    <row r="168" spans="3:3">
      <c r="C168" s="3"/>
    </row>
    <row r="172" spans="3:3">
      <c r="C172" s="3"/>
    </row>
    <row r="175" spans="3:3">
      <c r="C175" s="3"/>
    </row>
    <row r="177" spans="3:3">
      <c r="C177" s="3"/>
    </row>
    <row r="187" spans="3:3">
      <c r="C187" s="3"/>
    </row>
    <row r="191" spans="3:3">
      <c r="C191" s="3"/>
    </row>
    <row r="202" spans="3:3">
      <c r="C202" s="3"/>
    </row>
    <row r="204" spans="3:3">
      <c r="C204" s="3"/>
    </row>
  </sheetData>
  <phoneticPr fontId="1" type="noConversion"/>
  <pageMargins left="0.61" right="0.61" top="0.39" bottom="0.63" header="0.39" footer="0.24"/>
  <pageSetup scale="69" orientation="landscape" r:id="rId1"/>
  <headerFooter alignWithMargins="0">
    <oddFooter>&amp;C&amp;8*Degree of Match: 1=WEAK (major aspect of the CC not addressed in TN standards); 2 = GOOD (minor aspect of the CC missing in TN standards); 
3 = EXCELLENT (Excellent match between both verb/performance &amp; content/topic)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Kindergarten</vt:lpstr>
      <vt:lpstr>1st Grade</vt:lpstr>
      <vt:lpstr>2nd Grade</vt:lpstr>
      <vt:lpstr>3rd Grade</vt:lpstr>
      <vt:lpstr>4th Grade</vt:lpstr>
      <vt:lpstr>5th Grade</vt:lpstr>
      <vt:lpstr>6th Grade</vt:lpstr>
      <vt:lpstr>7th Grade</vt:lpstr>
      <vt:lpstr>8th Grade</vt:lpstr>
      <vt:lpstr>Template</vt:lpstr>
      <vt:lpstr>'1st Grade'!Print_Area</vt:lpstr>
      <vt:lpstr>'2nd Grade'!Print_Area</vt:lpstr>
      <vt:lpstr>'3rd Grade'!Print_Area</vt:lpstr>
      <vt:lpstr>'4th Grade'!Print_Area</vt:lpstr>
      <vt:lpstr>'5th Grade'!Print_Area</vt:lpstr>
      <vt:lpstr>'6th Grade'!Print_Area</vt:lpstr>
      <vt:lpstr>'7th Grade'!Print_Area</vt:lpstr>
      <vt:lpstr>'8th Grade'!Print_Area</vt:lpstr>
      <vt:lpstr>Kindergarten!Print_Area</vt:lpstr>
      <vt:lpstr>'1st Grade'!Print_Titles</vt:lpstr>
      <vt:lpstr>'2nd Grade'!Print_Titles</vt:lpstr>
      <vt:lpstr>'3rd Grade'!Print_Titles</vt:lpstr>
      <vt:lpstr>'4th Grade'!Print_Titles</vt:lpstr>
      <vt:lpstr>'5th Grade'!Print_Titles</vt:lpstr>
      <vt:lpstr>'6th Grade'!Print_Titles</vt:lpstr>
      <vt:lpstr>'7th Grade'!Print_Titles</vt:lpstr>
      <vt:lpstr>'8th Grade'!Print_Titles</vt:lpstr>
      <vt:lpstr>Kindergarten!Print_Titles</vt:lpstr>
      <vt:lpstr>Template!Print_Titles</vt:lpstr>
    </vt:vector>
  </TitlesOfParts>
  <Company>SCBE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SCBE</dc:creator>
  <cp:lastModifiedBy>Be</cp:lastModifiedBy>
  <cp:lastPrinted>2011-06-13T16:22:15Z</cp:lastPrinted>
  <dcterms:created xsi:type="dcterms:W3CDTF">2011-05-19T19:31:22Z</dcterms:created>
  <dcterms:modified xsi:type="dcterms:W3CDTF">2011-08-02T15:19:42Z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DocumentId">
    <vt:lpwstr>1P-9DCPAonCCdqHhbVI9T33s1CVOUxxYxoUSqwlifa8w</vt:lpwstr>
  </property>
  <property fmtid="{D5CDD505-2E9C-101B-9397-08002B2CF9AE}" pid="3" name="Google.Documents.RevisionId">
    <vt:lpwstr>18195645482708715587</vt:lpwstr>
  </property>
  <property fmtid="{D5CDD505-2E9C-101B-9397-08002B2CF9AE}" pid="4" name="Google.Documents.PreviousRevisionId">
    <vt:lpwstr>05463747824978002394</vt:lpwstr>
  </property>
  <property fmtid="{D5CDD505-2E9C-101B-9397-08002B2CF9AE}" pid="5" name="Google.Documents.PluginVersion">
    <vt:lpwstr>2.0.2026.3768</vt:lpwstr>
  </property>
  <property fmtid="{D5CDD505-2E9C-101B-9397-08002B2CF9AE}" pid="6" name="Google.Documents.MergeIncapabilityFlags">
    <vt:i4>0</vt:i4>
  </property>
  <property fmtid="{D5CDD505-2E9C-101B-9397-08002B2CF9AE}" pid="7" name="Google.Documents.Tracking">
    <vt:lpwstr>false</vt:lpwstr>
  </property>
</Properties>
</file>